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codeName="ThisWorkbook"/>
  <mc:AlternateContent xmlns:mc="http://schemas.openxmlformats.org/markup-compatibility/2006">
    <mc:Choice Requires="x15">
      <x15ac:absPath xmlns:x15ac="http://schemas.microsoft.com/office/spreadsheetml/2010/11/ac" url="P:\ENGINEERING\BOM - NETSUITE\Assortiment commissie\Rechthoekige kanalen Greka\"/>
    </mc:Choice>
  </mc:AlternateContent>
  <xr:revisionPtr revIDLastSave="0" documentId="8_{E3F41BF4-D6CF-4504-8DD5-774C0EC3E401}" xr6:coauthVersionLast="47" xr6:coauthVersionMax="47" xr10:uidLastSave="{00000000-0000-0000-0000-000000000000}"/>
  <bookViews>
    <workbookView xWindow="-120" yWindow="-120" windowWidth="29040" windowHeight="15720" tabRatio="923" firstSheet="13" activeTab="13" xr2:uid="{F9B82B91-C196-4033-B17E-E3733337E3E2}"/>
  </bookViews>
  <sheets>
    <sheet name="Total" sheetId="11" r:id="rId1"/>
    <sheet name="Rechte Kanalen" sheetId="6" r:id="rId2"/>
    <sheet name="Verloopstukken" sheetId="1" r:id="rId3"/>
    <sheet name="Bochten" sheetId="3" r:id="rId4"/>
    <sheet name="Verlopen Recht-Rond" sheetId="2" r:id="rId5"/>
    <sheet name="T-stukken" sheetId="4" r:id="rId6"/>
    <sheet name="UC mounting materials " sheetId="15" state="hidden" r:id="rId7"/>
    <sheet name="Deksels" sheetId="5" r:id="rId8"/>
    <sheet name="Eindstukken gaas 45" sheetId="13" r:id="rId9"/>
    <sheet name="Rechte aftakkingen" sheetId="14" r:id="rId10"/>
    <sheet name="Sprongstukken" sheetId="20" r:id="rId11"/>
    <sheet name="kanalen met klep" sheetId="24" r:id="rId12"/>
    <sheet name="Kattenruggen" sheetId="25" r:id="rId13"/>
    <sheet name="informatieblad" sheetId="7" r:id="rId14"/>
  </sheets>
  <definedNames>
    <definedName name="_xlnm._FilterDatabase" localSheetId="0" hidden="1">Total!$A$8:$E$8</definedName>
    <definedName name="_xlnm.Print_Area" localSheetId="3">Bochten!$A$1:$I$139</definedName>
    <definedName name="_xlnm.Print_Area" localSheetId="7">Deksels!$A$1:$I$140</definedName>
    <definedName name="_xlnm.Print_Area" localSheetId="8">'Eindstukken gaas 45'!$A$1:$I$140</definedName>
    <definedName name="_xlnm.Print_Area" localSheetId="11">'kanalen met klep'!$A$1:$I$138</definedName>
    <definedName name="_xlnm.Print_Area" localSheetId="12">Kattenruggen!$A$1:$K$165</definedName>
    <definedName name="_xlnm.Print_Area" localSheetId="9">'Rechte aftakkingen'!$A$1:$I$140</definedName>
    <definedName name="_xlnm.Print_Area" localSheetId="1">'Rechte Kanalen'!$A$1:$H$139</definedName>
    <definedName name="_xlnm.Print_Area" localSheetId="10">Sprongstukken!$A$1:$K$138</definedName>
    <definedName name="_xlnm.Print_Area" localSheetId="0">Total!$A$1:$E$328</definedName>
    <definedName name="_xlnm.Print_Area" localSheetId="5">'T-stukken'!$A$1:$I$139</definedName>
    <definedName name="_xlnm.Print_Area" localSheetId="2">Verloopstukken!$A$1:$J$138</definedName>
    <definedName name="_xlnm.Print_Area" localSheetId="4">'Verlopen Recht-Rond'!$A$1:$K$143</definedName>
    <definedName name="Options_Ducts">informatieblad!$A$37:$A$41</definedName>
    <definedName name="Options_flanges">informatieblad!$A$2:$A$8</definedName>
    <definedName name="Tstukken">#REF!</definedName>
    <definedName name="Tstukken_ron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25" l="1"/>
  <c r="G20" i="20"/>
  <c r="F20" i="20"/>
  <c r="E20" i="20"/>
  <c r="I20" i="20" s="1"/>
  <c r="J20" i="20" s="1"/>
  <c r="C137" i="24"/>
  <c r="B137" i="24"/>
  <c r="F137" i="24" s="1"/>
  <c r="H136" i="24"/>
  <c r="F133" i="24"/>
  <c r="C133" i="24"/>
  <c r="B133" i="24"/>
  <c r="H132" i="24"/>
  <c r="F129" i="24"/>
  <c r="C129" i="24"/>
  <c r="B129" i="24"/>
  <c r="H128" i="24"/>
  <c r="C125" i="24"/>
  <c r="B125" i="24"/>
  <c r="F125" i="24" s="1"/>
  <c r="H124" i="24"/>
  <c r="C121" i="24"/>
  <c r="B121" i="24"/>
  <c r="F121" i="24" s="1"/>
  <c r="H120" i="24"/>
  <c r="C117" i="24"/>
  <c r="B117" i="24"/>
  <c r="F117" i="24" s="1"/>
  <c r="H116" i="24"/>
  <c r="F113" i="24"/>
  <c r="C113" i="24"/>
  <c r="B113" i="24"/>
  <c r="H112" i="24"/>
  <c r="C109" i="24"/>
  <c r="B109" i="24"/>
  <c r="F109" i="24" s="1"/>
  <c r="H108" i="24"/>
  <c r="C105" i="24"/>
  <c r="B105" i="24"/>
  <c r="F105" i="24" s="1"/>
  <c r="H104" i="24"/>
  <c r="F101" i="24"/>
  <c r="C101" i="24"/>
  <c r="B101" i="24"/>
  <c r="H100" i="24"/>
  <c r="C97" i="24"/>
  <c r="B97" i="24"/>
  <c r="F97" i="24" s="1"/>
  <c r="H96" i="24"/>
  <c r="F93" i="24"/>
  <c r="C93" i="24"/>
  <c r="B93" i="24"/>
  <c r="H92" i="24"/>
  <c r="C89" i="24"/>
  <c r="F89" i="24" s="1"/>
  <c r="B89" i="24"/>
  <c r="H88" i="24"/>
  <c r="F85" i="24"/>
  <c r="C85" i="24"/>
  <c r="B85" i="24"/>
  <c r="H84" i="24"/>
  <c r="F81" i="24"/>
  <c r="C81" i="24"/>
  <c r="B81" i="24"/>
  <c r="H80" i="24"/>
  <c r="F77" i="24"/>
  <c r="C77" i="24"/>
  <c r="B77" i="24"/>
  <c r="H76" i="24"/>
  <c r="C73" i="24"/>
  <c r="B73" i="24"/>
  <c r="F73" i="24" s="1"/>
  <c r="H72" i="24"/>
  <c r="C69" i="24"/>
  <c r="B69" i="24"/>
  <c r="F69" i="24" s="1"/>
  <c r="H68" i="24"/>
  <c r="C65" i="24"/>
  <c r="B65" i="24"/>
  <c r="F65" i="24" s="1"/>
  <c r="H64" i="24"/>
  <c r="F61" i="24"/>
  <c r="C61" i="24"/>
  <c r="B61" i="24"/>
  <c r="H60" i="24"/>
  <c r="C57" i="24"/>
  <c r="B57" i="24"/>
  <c r="F57" i="24" s="1"/>
  <c r="H56" i="24"/>
  <c r="C53" i="24"/>
  <c r="B53" i="24"/>
  <c r="F53" i="24" s="1"/>
  <c r="H52" i="24"/>
  <c r="C49" i="24"/>
  <c r="B49" i="24"/>
  <c r="F49" i="24" s="1"/>
  <c r="H48" i="24"/>
  <c r="F45" i="24"/>
  <c r="C45" i="24"/>
  <c r="B45" i="24"/>
  <c r="H44" i="24"/>
  <c r="C41" i="24"/>
  <c r="B41" i="24"/>
  <c r="F41" i="24" s="1"/>
  <c r="H40" i="24"/>
  <c r="F37" i="24"/>
  <c r="C37" i="24"/>
  <c r="B37" i="24"/>
  <c r="H36" i="24"/>
  <c r="C29" i="24"/>
  <c r="F29" i="24" s="1"/>
  <c r="B29" i="24"/>
  <c r="H28" i="24"/>
  <c r="C33" i="24"/>
  <c r="B33" i="24"/>
  <c r="F33" i="24" s="1"/>
  <c r="H32" i="24"/>
  <c r="C25" i="24"/>
  <c r="B25" i="24"/>
  <c r="F25" i="24" s="1"/>
  <c r="H24" i="24"/>
  <c r="H16" i="24"/>
  <c r="H20" i="24"/>
  <c r="F17" i="24"/>
  <c r="B283" i="11" l="1"/>
  <c r="A287" i="11"/>
  <c r="C287" i="11"/>
  <c r="E287" i="11" s="1"/>
  <c r="A259" i="11"/>
  <c r="C259" i="11"/>
  <c r="A260" i="11"/>
  <c r="C260" i="11"/>
  <c r="A261" i="11"/>
  <c r="C261" i="11"/>
  <c r="A262" i="11"/>
  <c r="C262" i="11"/>
  <c r="E262" i="11" s="1"/>
  <c r="A263" i="11"/>
  <c r="C263" i="11"/>
  <c r="A264" i="11"/>
  <c r="C264" i="11"/>
  <c r="A265" i="11"/>
  <c r="C265" i="11"/>
  <c r="A266" i="11"/>
  <c r="C266" i="11"/>
  <c r="A267" i="11"/>
  <c r="C267" i="11"/>
  <c r="A268" i="11"/>
  <c r="C268" i="11"/>
  <c r="E268" i="11" s="1"/>
  <c r="A269" i="11"/>
  <c r="C269" i="11"/>
  <c r="A270" i="11"/>
  <c r="C270" i="11"/>
  <c r="A271" i="11"/>
  <c r="C271" i="11"/>
  <c r="A272" i="11"/>
  <c r="C272" i="11"/>
  <c r="A273" i="11"/>
  <c r="C273" i="11"/>
  <c r="A274" i="11"/>
  <c r="C274" i="11"/>
  <c r="A275" i="11"/>
  <c r="C275" i="11"/>
  <c r="A276" i="11"/>
  <c r="C276" i="11"/>
  <c r="A277" i="11"/>
  <c r="C277" i="11"/>
  <c r="A278" i="11"/>
  <c r="C278" i="11"/>
  <c r="A279" i="11"/>
  <c r="C279" i="11"/>
  <c r="A280" i="11"/>
  <c r="C280" i="11"/>
  <c r="A281" i="11"/>
  <c r="C281" i="11"/>
  <c r="A282" i="11"/>
  <c r="C282" i="11"/>
  <c r="A283" i="11"/>
  <c r="C283" i="11"/>
  <c r="A284" i="11"/>
  <c r="C284" i="11"/>
  <c r="A285" i="11"/>
  <c r="C285" i="11"/>
  <c r="A286" i="11"/>
  <c r="C286" i="11"/>
  <c r="E280" i="11" l="1"/>
  <c r="E274" i="11"/>
  <c r="E264" i="11"/>
  <c r="E270" i="11"/>
  <c r="E284" i="11"/>
  <c r="E276" i="11"/>
  <c r="E282" i="11"/>
  <c r="E266" i="11"/>
  <c r="E286" i="11"/>
  <c r="E272" i="11"/>
  <c r="E260" i="11"/>
  <c r="E278" i="11"/>
  <c r="E285" i="11"/>
  <c r="E283" i="11"/>
  <c r="E281" i="11"/>
  <c r="E279" i="11"/>
  <c r="E277" i="11"/>
  <c r="E275" i="11"/>
  <c r="E273" i="11"/>
  <c r="E271" i="11"/>
  <c r="E269" i="11"/>
  <c r="E267" i="11"/>
  <c r="E265" i="11"/>
  <c r="E263" i="11"/>
  <c r="E261" i="11"/>
  <c r="E259" i="11"/>
  <c r="A258" i="11" l="1"/>
  <c r="C258" i="11"/>
  <c r="I21" i="7"/>
  <c r="D21" i="7"/>
  <c r="I4" i="24" s="1"/>
  <c r="AX138" i="24"/>
  <c r="B287" i="11"/>
  <c r="B286" i="11"/>
  <c r="AX126" i="24"/>
  <c r="B284" i="11"/>
  <c r="B282" i="11"/>
  <c r="B281" i="11"/>
  <c r="AX110" i="24"/>
  <c r="B280" i="11"/>
  <c r="B279" i="11"/>
  <c r="B278" i="11"/>
  <c r="B277" i="11"/>
  <c r="AX94" i="24"/>
  <c r="B276" i="11"/>
  <c r="B274" i="11"/>
  <c r="AX82" i="24"/>
  <c r="B273" i="11"/>
  <c r="B272" i="11"/>
  <c r="B271" i="11"/>
  <c r="AX70" i="24"/>
  <c r="B270" i="11"/>
  <c r="B269" i="11"/>
  <c r="B268" i="11"/>
  <c r="B266" i="11"/>
  <c r="AX50" i="24"/>
  <c r="B265" i="11"/>
  <c r="B264" i="11"/>
  <c r="B263" i="11"/>
  <c r="B262" i="11"/>
  <c r="B261" i="11"/>
  <c r="B260" i="11"/>
  <c r="AX26" i="24"/>
  <c r="B259" i="11"/>
  <c r="N22" i="24"/>
  <c r="O22" i="24" s="1"/>
  <c r="D22" i="24" s="1"/>
  <c r="P126" i="1"/>
  <c r="O125" i="1"/>
  <c r="P138" i="1"/>
  <c r="O137" i="1"/>
  <c r="P134" i="1"/>
  <c r="O133" i="1"/>
  <c r="P130" i="1"/>
  <c r="O129" i="1"/>
  <c r="P122" i="1"/>
  <c r="O121" i="1"/>
  <c r="P118" i="1"/>
  <c r="O117" i="1"/>
  <c r="P114" i="1"/>
  <c r="O113" i="1"/>
  <c r="P110" i="1"/>
  <c r="O109" i="1"/>
  <c r="P106" i="1"/>
  <c r="O105" i="1"/>
  <c r="P102" i="1"/>
  <c r="O101" i="1"/>
  <c r="P98" i="1"/>
  <c r="O97" i="1"/>
  <c r="P94" i="1"/>
  <c r="O93" i="1"/>
  <c r="P90" i="1"/>
  <c r="O89" i="1"/>
  <c r="P86" i="1"/>
  <c r="O85" i="1"/>
  <c r="P82" i="1"/>
  <c r="O81" i="1"/>
  <c r="P78" i="1"/>
  <c r="O77" i="1"/>
  <c r="P74" i="1"/>
  <c r="O73" i="1"/>
  <c r="P70" i="1"/>
  <c r="O69" i="1"/>
  <c r="P66" i="1"/>
  <c r="O65" i="1"/>
  <c r="P62" i="1"/>
  <c r="O61" i="1"/>
  <c r="P58" i="1"/>
  <c r="O57" i="1"/>
  <c r="P54" i="1"/>
  <c r="O53" i="1"/>
  <c r="P50" i="1"/>
  <c r="O49" i="1"/>
  <c r="P46" i="1"/>
  <c r="O45" i="1"/>
  <c r="P42" i="1"/>
  <c r="O41" i="1"/>
  <c r="P38" i="1"/>
  <c r="O37" i="1"/>
  <c r="P34" i="1"/>
  <c r="O33" i="1"/>
  <c r="P30" i="1"/>
  <c r="O29" i="1"/>
  <c r="P26" i="1"/>
  <c r="O25" i="1"/>
  <c r="P22" i="1"/>
  <c r="R22" i="1"/>
  <c r="D22" i="7"/>
  <c r="AP163" i="25"/>
  <c r="AO163" i="25"/>
  <c r="AI136" i="24"/>
  <c r="AK136" i="24"/>
  <c r="AM136" i="24"/>
  <c r="AO136" i="24"/>
  <c r="AY136" i="24"/>
  <c r="AZ136" i="24"/>
  <c r="BA136" i="24"/>
  <c r="BB136" i="24"/>
  <c r="M137" i="24"/>
  <c r="AI137" i="24"/>
  <c r="AK137" i="24"/>
  <c r="AM137" i="24"/>
  <c r="AT137" i="24"/>
  <c r="N138" i="24"/>
  <c r="O138" i="24" s="1"/>
  <c r="D138" i="24" s="1"/>
  <c r="P138" i="24"/>
  <c r="Q138" i="24" s="1"/>
  <c r="T138" i="24"/>
  <c r="U138" i="24"/>
  <c r="V138" i="24"/>
  <c r="Z138" i="24"/>
  <c r="AU137" i="24" s="1"/>
  <c r="AR138" i="24"/>
  <c r="AT138" i="24"/>
  <c r="BE138" i="24"/>
  <c r="N114" i="24"/>
  <c r="O114" i="24" s="1"/>
  <c r="D114" i="24" s="1"/>
  <c r="AI116" i="24"/>
  <c r="AK116" i="24"/>
  <c r="AK118" i="24" s="1"/>
  <c r="AM116" i="24"/>
  <c r="AO116" i="24"/>
  <c r="AY116" i="24"/>
  <c r="AZ116" i="24"/>
  <c r="BA116" i="24"/>
  <c r="BB116" i="24"/>
  <c r="AX118" i="24"/>
  <c r="M117" i="24"/>
  <c r="AI117" i="24"/>
  <c r="AK117" i="24"/>
  <c r="AM117" i="24"/>
  <c r="AT117" i="24"/>
  <c r="N118" i="24"/>
  <c r="O118" i="24" s="1"/>
  <c r="D118" i="24" s="1"/>
  <c r="P118" i="24"/>
  <c r="Q118" i="24" s="1"/>
  <c r="T118" i="24"/>
  <c r="U118" i="24"/>
  <c r="V118" i="24"/>
  <c r="Z118" i="24"/>
  <c r="AU117" i="24" s="1"/>
  <c r="AR118" i="24"/>
  <c r="AT118" i="24"/>
  <c r="BE118" i="24"/>
  <c r="AI120" i="24"/>
  <c r="AK120" i="24"/>
  <c r="AM120" i="24"/>
  <c r="AO120" i="24"/>
  <c r="AY120" i="24"/>
  <c r="AZ120" i="24"/>
  <c r="BA120" i="24"/>
  <c r="BB120" i="24"/>
  <c r="M121" i="24"/>
  <c r="AI121" i="24"/>
  <c r="AK121" i="24"/>
  <c r="AM121" i="24"/>
  <c r="AT121" i="24"/>
  <c r="N122" i="24"/>
  <c r="O122" i="24" s="1"/>
  <c r="D122" i="24" s="1"/>
  <c r="P122" i="24"/>
  <c r="Q122" i="24" s="1"/>
  <c r="T122" i="24"/>
  <c r="U122" i="24"/>
  <c r="V122" i="24"/>
  <c r="Z122" i="24"/>
  <c r="AU121" i="24" s="1"/>
  <c r="AR122" i="24"/>
  <c r="AT122" i="24"/>
  <c r="AX122" i="24"/>
  <c r="BE122" i="24"/>
  <c r="AI124" i="24"/>
  <c r="AK124" i="24"/>
  <c r="AM124" i="24"/>
  <c r="AO124" i="24"/>
  <c r="AY124" i="24"/>
  <c r="AZ124" i="24"/>
  <c r="BA124" i="24"/>
  <c r="BB124" i="24"/>
  <c r="M125" i="24"/>
  <c r="AI125" i="24"/>
  <c r="AK125" i="24"/>
  <c r="AM125" i="24"/>
  <c r="AT125" i="24"/>
  <c r="N126" i="24"/>
  <c r="O126" i="24" s="1"/>
  <c r="D126" i="24" s="1"/>
  <c r="P126" i="24"/>
  <c r="Q126" i="24" s="1"/>
  <c r="T126" i="24"/>
  <c r="U126" i="24"/>
  <c r="V126" i="24"/>
  <c r="Z126" i="24"/>
  <c r="AU126" i="24" s="1"/>
  <c r="AR126" i="24"/>
  <c r="AT126" i="24"/>
  <c r="BE126" i="24"/>
  <c r="AI128" i="24"/>
  <c r="AK128" i="24"/>
  <c r="AM128" i="24"/>
  <c r="AO128" i="24"/>
  <c r="AY128" i="24"/>
  <c r="AZ128" i="24"/>
  <c r="BA128" i="24"/>
  <c r="BB128" i="24"/>
  <c r="M129" i="24"/>
  <c r="AI129" i="24"/>
  <c r="AK129" i="24"/>
  <c r="AM129" i="24"/>
  <c r="AT129" i="24"/>
  <c r="N130" i="24"/>
  <c r="O130" i="24" s="1"/>
  <c r="D130" i="24" s="1"/>
  <c r="P130" i="24"/>
  <c r="Q130" i="24" s="1"/>
  <c r="T130" i="24"/>
  <c r="U130" i="24"/>
  <c r="V130" i="24"/>
  <c r="Z130" i="24"/>
  <c r="AU129" i="24" s="1"/>
  <c r="AR130" i="24"/>
  <c r="AT130" i="24"/>
  <c r="BE130" i="24"/>
  <c r="AI132" i="24"/>
  <c r="AK132" i="24"/>
  <c r="AM132" i="24"/>
  <c r="AO132" i="24"/>
  <c r="AP134" i="24" s="1"/>
  <c r="AY132" i="24"/>
  <c r="AZ132" i="24"/>
  <c r="BA132" i="24"/>
  <c r="BB132" i="24"/>
  <c r="M133" i="24"/>
  <c r="AI133" i="24"/>
  <c r="AK133" i="24"/>
  <c r="AM133" i="24"/>
  <c r="AT133" i="24"/>
  <c r="N134" i="24"/>
  <c r="O134" i="24" s="1"/>
  <c r="D134" i="24" s="1"/>
  <c r="P134" i="24"/>
  <c r="Q134" i="24" s="1"/>
  <c r="T134" i="24"/>
  <c r="U134" i="24"/>
  <c r="V134" i="24"/>
  <c r="Z134" i="24"/>
  <c r="AU134" i="24" s="1"/>
  <c r="AR134" i="24"/>
  <c r="AT134" i="24"/>
  <c r="BE134" i="24"/>
  <c r="AI68" i="24"/>
  <c r="AK68" i="24"/>
  <c r="AM68" i="24"/>
  <c r="AO68" i="24"/>
  <c r="AY68" i="24"/>
  <c r="AZ68" i="24"/>
  <c r="BA68" i="24"/>
  <c r="BB68" i="24"/>
  <c r="M69" i="24"/>
  <c r="AI69" i="24"/>
  <c r="AK69" i="24"/>
  <c r="AM69" i="24"/>
  <c r="AT69" i="24"/>
  <c r="N70" i="24"/>
  <c r="O70" i="24" s="1"/>
  <c r="D70" i="24" s="1"/>
  <c r="P70" i="24"/>
  <c r="Q70" i="24" s="1"/>
  <c r="T70" i="24"/>
  <c r="U70" i="24"/>
  <c r="V70" i="24"/>
  <c r="Z70" i="24"/>
  <c r="AU69" i="24" s="1"/>
  <c r="AR70" i="24"/>
  <c r="AT70" i="24"/>
  <c r="BE70" i="24"/>
  <c r="AI72" i="24"/>
  <c r="AK72" i="24"/>
  <c r="AM72" i="24"/>
  <c r="AO72" i="24"/>
  <c r="AY72" i="24"/>
  <c r="AZ72" i="24"/>
  <c r="BA72" i="24"/>
  <c r="BB72" i="24"/>
  <c r="M73" i="24"/>
  <c r="AI73" i="24"/>
  <c r="AK73" i="24"/>
  <c r="AM73" i="24"/>
  <c r="AT73" i="24"/>
  <c r="N74" i="24"/>
  <c r="O74" i="24" s="1"/>
  <c r="D74" i="24" s="1"/>
  <c r="P74" i="24"/>
  <c r="Q74" i="24" s="1"/>
  <c r="T74" i="24"/>
  <c r="U74" i="24"/>
  <c r="V74" i="24"/>
  <c r="Z74" i="24"/>
  <c r="AU73" i="24" s="1"/>
  <c r="AR74" i="24"/>
  <c r="AT74" i="24"/>
  <c r="BE74" i="24"/>
  <c r="AI76" i="24"/>
  <c r="AK76" i="24"/>
  <c r="AM76" i="24"/>
  <c r="AO76" i="24"/>
  <c r="AY76" i="24"/>
  <c r="AZ76" i="24"/>
  <c r="BA76" i="24"/>
  <c r="BB76" i="24"/>
  <c r="M77" i="24"/>
  <c r="AI77" i="24"/>
  <c r="AK77" i="24"/>
  <c r="AM77" i="24"/>
  <c r="AT77" i="24"/>
  <c r="N78" i="24"/>
  <c r="O78" i="24" s="1"/>
  <c r="D78" i="24" s="1"/>
  <c r="P78" i="24"/>
  <c r="Q78" i="24" s="1"/>
  <c r="T78" i="24"/>
  <c r="U78" i="24"/>
  <c r="V78" i="24"/>
  <c r="Z78" i="24"/>
  <c r="AU78" i="24" s="1"/>
  <c r="AR78" i="24"/>
  <c r="AT78" i="24"/>
  <c r="BE78" i="24"/>
  <c r="AI80" i="24"/>
  <c r="AK80" i="24"/>
  <c r="AM80" i="24"/>
  <c r="AO80" i="24"/>
  <c r="AY80" i="24"/>
  <c r="AZ80" i="24"/>
  <c r="BA80" i="24"/>
  <c r="BB80" i="24"/>
  <c r="AW82" i="24"/>
  <c r="M81" i="24"/>
  <c r="AI81" i="24"/>
  <c r="AK81" i="24"/>
  <c r="AM81" i="24"/>
  <c r="AT81" i="24"/>
  <c r="N82" i="24"/>
  <c r="O82" i="24" s="1"/>
  <c r="D82" i="24" s="1"/>
  <c r="P82" i="24"/>
  <c r="Q82" i="24" s="1"/>
  <c r="T82" i="24"/>
  <c r="U82" i="24"/>
  <c r="V82" i="24"/>
  <c r="Z82" i="24"/>
  <c r="AA82" i="24" s="1"/>
  <c r="AR82" i="24"/>
  <c r="AT82" i="24"/>
  <c r="BE82" i="24"/>
  <c r="AI84" i="24"/>
  <c r="AK84" i="24"/>
  <c r="AM84" i="24"/>
  <c r="AO84" i="24"/>
  <c r="AY84" i="24"/>
  <c r="AZ84" i="24"/>
  <c r="BA84" i="24"/>
  <c r="BB84" i="24"/>
  <c r="M85" i="24"/>
  <c r="AI85" i="24"/>
  <c r="AK85" i="24"/>
  <c r="AM85" i="24"/>
  <c r="AT85" i="24"/>
  <c r="N86" i="24"/>
  <c r="O86" i="24" s="1"/>
  <c r="D86" i="24" s="1"/>
  <c r="P86" i="24"/>
  <c r="Q86" i="24" s="1"/>
  <c r="T86" i="24"/>
  <c r="U86" i="24"/>
  <c r="V86" i="24"/>
  <c r="Z86" i="24"/>
  <c r="AU86" i="24" s="1"/>
  <c r="AR86" i="24"/>
  <c r="AT86" i="24"/>
  <c r="AW86" i="24"/>
  <c r="BE86" i="24"/>
  <c r="AI88" i="24"/>
  <c r="AK88" i="24"/>
  <c r="AM88" i="24"/>
  <c r="AO88" i="24"/>
  <c r="AY88" i="24"/>
  <c r="AZ88" i="24"/>
  <c r="BA88" i="24"/>
  <c r="BB88" i="24"/>
  <c r="AX90" i="24"/>
  <c r="M89" i="24"/>
  <c r="AI89" i="24"/>
  <c r="AK89" i="24"/>
  <c r="AM89" i="24"/>
  <c r="AT89" i="24"/>
  <c r="N90" i="24"/>
  <c r="O90" i="24" s="1"/>
  <c r="D90" i="24" s="1"/>
  <c r="P90" i="24"/>
  <c r="Q90" i="24" s="1"/>
  <c r="T90" i="24"/>
  <c r="U90" i="24"/>
  <c r="V90" i="24"/>
  <c r="Z90" i="24"/>
  <c r="AU89" i="24" s="1"/>
  <c r="AR90" i="24"/>
  <c r="AT90" i="24"/>
  <c r="BE90" i="24"/>
  <c r="AI92" i="24"/>
  <c r="AK92" i="24"/>
  <c r="AM92" i="24"/>
  <c r="AO92" i="24"/>
  <c r="AY92" i="24"/>
  <c r="AZ92" i="24"/>
  <c r="BA92" i="24"/>
  <c r="BB92" i="24"/>
  <c r="M93" i="24"/>
  <c r="AI93" i="24"/>
  <c r="AK93" i="24"/>
  <c r="AM93" i="24"/>
  <c r="AT93" i="24"/>
  <c r="N94" i="24"/>
  <c r="O94" i="24" s="1"/>
  <c r="D94" i="24" s="1"/>
  <c r="P94" i="24"/>
  <c r="Q94" i="24" s="1"/>
  <c r="T94" i="24"/>
  <c r="U94" i="24"/>
  <c r="V94" i="24"/>
  <c r="Z94" i="24"/>
  <c r="AA94" i="24" s="1"/>
  <c r="AR94" i="24"/>
  <c r="AT94" i="24"/>
  <c r="BE94" i="24"/>
  <c r="AI96" i="24"/>
  <c r="AK96" i="24"/>
  <c r="AM96" i="24"/>
  <c r="AO96" i="24"/>
  <c r="AY96" i="24"/>
  <c r="AZ96" i="24"/>
  <c r="BA96" i="24"/>
  <c r="BB96" i="24"/>
  <c r="AX98" i="24"/>
  <c r="M97" i="24"/>
  <c r="AI97" i="24"/>
  <c r="AK97" i="24"/>
  <c r="AM97" i="24"/>
  <c r="AT97" i="24"/>
  <c r="N98" i="24"/>
  <c r="O98" i="24" s="1"/>
  <c r="D98" i="24" s="1"/>
  <c r="P98" i="24"/>
  <c r="Q98" i="24" s="1"/>
  <c r="T98" i="24"/>
  <c r="U98" i="24"/>
  <c r="V98" i="24"/>
  <c r="Z98" i="24"/>
  <c r="AU98" i="24" s="1"/>
  <c r="AR98" i="24"/>
  <c r="AT98" i="24"/>
  <c r="BE98" i="24"/>
  <c r="AI100" i="24"/>
  <c r="AK100" i="24"/>
  <c r="AM100" i="24"/>
  <c r="AO100" i="24"/>
  <c r="AY100" i="24"/>
  <c r="AZ100" i="24"/>
  <c r="BA100" i="24"/>
  <c r="BB100" i="24"/>
  <c r="AX102" i="24"/>
  <c r="M101" i="24"/>
  <c r="AI101" i="24"/>
  <c r="AK101" i="24"/>
  <c r="AM101" i="24"/>
  <c r="AT101" i="24"/>
  <c r="N102" i="24"/>
  <c r="O102" i="24" s="1"/>
  <c r="D102" i="24" s="1"/>
  <c r="P102" i="24"/>
  <c r="Q102" i="24" s="1"/>
  <c r="T102" i="24"/>
  <c r="U102" i="24"/>
  <c r="V102" i="24"/>
  <c r="Z102" i="24"/>
  <c r="AU101" i="24" s="1"/>
  <c r="AR102" i="24"/>
  <c r="AT102" i="24"/>
  <c r="BE102" i="24"/>
  <c r="AI104" i="24"/>
  <c r="AK104" i="24"/>
  <c r="AM104" i="24"/>
  <c r="AO104" i="24"/>
  <c r="AY104" i="24"/>
  <c r="AZ104" i="24"/>
  <c r="BA104" i="24"/>
  <c r="BB104" i="24"/>
  <c r="M105" i="24"/>
  <c r="AI105" i="24"/>
  <c r="AK105" i="24"/>
  <c r="AM105" i="24"/>
  <c r="AT105" i="24"/>
  <c r="N106" i="24"/>
  <c r="O106" i="24" s="1"/>
  <c r="D106" i="24" s="1"/>
  <c r="P106" i="24"/>
  <c r="Q106" i="24" s="1"/>
  <c r="T106" i="24"/>
  <c r="U106" i="24"/>
  <c r="V106" i="24"/>
  <c r="Z106" i="24"/>
  <c r="AU106" i="24" s="1"/>
  <c r="AR106" i="24"/>
  <c r="AT106" i="24"/>
  <c r="BE106" i="24"/>
  <c r="AI108" i="24"/>
  <c r="AK108" i="24"/>
  <c r="AM108" i="24"/>
  <c r="AO108" i="24"/>
  <c r="AY108" i="24"/>
  <c r="AZ108" i="24"/>
  <c r="BA108" i="24"/>
  <c r="BB108" i="24"/>
  <c r="M109" i="24"/>
  <c r="AI109" i="24"/>
  <c r="AK109" i="24"/>
  <c r="AM109" i="24"/>
  <c r="AT109" i="24"/>
  <c r="N110" i="24"/>
  <c r="O110" i="24" s="1"/>
  <c r="D110" i="24" s="1"/>
  <c r="P110" i="24"/>
  <c r="Q110" i="24" s="1"/>
  <c r="T110" i="24"/>
  <c r="U110" i="24"/>
  <c r="V110" i="24"/>
  <c r="Z110" i="24"/>
  <c r="AU109" i="24" s="1"/>
  <c r="AR110" i="24"/>
  <c r="AT110" i="24"/>
  <c r="AW110" i="24"/>
  <c r="BE110" i="24"/>
  <c r="AI112" i="24"/>
  <c r="AK112" i="24"/>
  <c r="AM112" i="24"/>
  <c r="AO112" i="24"/>
  <c r="AY112" i="24"/>
  <c r="AZ112" i="24"/>
  <c r="BA112" i="24"/>
  <c r="BB112" i="24"/>
  <c r="M113" i="24"/>
  <c r="AI113" i="24"/>
  <c r="AK113" i="24"/>
  <c r="AM113" i="24"/>
  <c r="AT113" i="24"/>
  <c r="P114" i="24"/>
  <c r="Q114" i="24" s="1"/>
  <c r="T114" i="24"/>
  <c r="U114" i="24"/>
  <c r="V114" i="24"/>
  <c r="Z114" i="24"/>
  <c r="AU114" i="24" s="1"/>
  <c r="AR114" i="24"/>
  <c r="AT114" i="24"/>
  <c r="BE114" i="24"/>
  <c r="AI44" i="24"/>
  <c r="AK44" i="24"/>
  <c r="AM44" i="24"/>
  <c r="AO44" i="24"/>
  <c r="AY44" i="24"/>
  <c r="AZ44" i="24"/>
  <c r="BA44" i="24"/>
  <c r="BB44" i="24"/>
  <c r="M45" i="24"/>
  <c r="AI45" i="24"/>
  <c r="AK45" i="24"/>
  <c r="AM45" i="24"/>
  <c r="AT45" i="24"/>
  <c r="N46" i="24"/>
  <c r="O46" i="24" s="1"/>
  <c r="D46" i="24" s="1"/>
  <c r="P46" i="24"/>
  <c r="Q46" i="24" s="1"/>
  <c r="T46" i="24"/>
  <c r="U46" i="24"/>
  <c r="V46" i="24"/>
  <c r="Z46" i="24"/>
  <c r="AU45" i="24" s="1"/>
  <c r="AR46" i="24"/>
  <c r="AT46" i="24"/>
  <c r="BE46" i="24"/>
  <c r="AI48" i="24"/>
  <c r="AK48" i="24"/>
  <c r="AM48" i="24"/>
  <c r="AO48" i="24"/>
  <c r="AY48" i="24"/>
  <c r="AZ48" i="24"/>
  <c r="BA48" i="24"/>
  <c r="BB48" i="24"/>
  <c r="M49" i="24"/>
  <c r="AI49" i="24"/>
  <c r="AK49" i="24"/>
  <c r="AM49" i="24"/>
  <c r="AT49" i="24"/>
  <c r="N50" i="24"/>
  <c r="O50" i="24" s="1"/>
  <c r="D50" i="24" s="1"/>
  <c r="P50" i="24"/>
  <c r="Q50" i="24" s="1"/>
  <c r="T50" i="24"/>
  <c r="U50" i="24"/>
  <c r="V50" i="24"/>
  <c r="Z50" i="24"/>
  <c r="AA50" i="24" s="1"/>
  <c r="AR50" i="24"/>
  <c r="AT50" i="24"/>
  <c r="BE50" i="24"/>
  <c r="AI52" i="24"/>
  <c r="AK52" i="24"/>
  <c r="AM52" i="24"/>
  <c r="AO52" i="24"/>
  <c r="AY52" i="24"/>
  <c r="AZ52" i="24"/>
  <c r="BA52" i="24"/>
  <c r="BB52" i="24"/>
  <c r="M53" i="24"/>
  <c r="AI53" i="24"/>
  <c r="AK53" i="24"/>
  <c r="AM53" i="24"/>
  <c r="AT53" i="24"/>
  <c r="N54" i="24"/>
  <c r="O54" i="24" s="1"/>
  <c r="D54" i="24" s="1"/>
  <c r="P54" i="24"/>
  <c r="Q54" i="24" s="1"/>
  <c r="T54" i="24"/>
  <c r="U54" i="24"/>
  <c r="V54" i="24"/>
  <c r="Z54" i="24"/>
  <c r="AU54" i="24" s="1"/>
  <c r="AR54" i="24"/>
  <c r="AT54" i="24"/>
  <c r="BE54" i="24"/>
  <c r="AI56" i="24"/>
  <c r="AK56" i="24"/>
  <c r="AM56" i="24"/>
  <c r="AO56" i="24"/>
  <c r="AY56" i="24"/>
  <c r="AZ56" i="24"/>
  <c r="BA56" i="24"/>
  <c r="BB56" i="24"/>
  <c r="M57" i="24"/>
  <c r="AI57" i="24"/>
  <c r="AK57" i="24"/>
  <c r="AM57" i="24"/>
  <c r="AT57" i="24"/>
  <c r="N58" i="24"/>
  <c r="O58" i="24" s="1"/>
  <c r="D58" i="24" s="1"/>
  <c r="P58" i="24"/>
  <c r="Q58" i="24" s="1"/>
  <c r="T58" i="24"/>
  <c r="U58" i="24"/>
  <c r="V58" i="24"/>
  <c r="Z58" i="24"/>
  <c r="AU57" i="24" s="1"/>
  <c r="AR58" i="24"/>
  <c r="AT58" i="24"/>
  <c r="AW58" i="24"/>
  <c r="BE58" i="24"/>
  <c r="AI60" i="24"/>
  <c r="AK60" i="24"/>
  <c r="AM60" i="24"/>
  <c r="AO60" i="24"/>
  <c r="AY60" i="24"/>
  <c r="AZ60" i="24"/>
  <c r="BA60" i="24"/>
  <c r="BB60" i="24"/>
  <c r="AX62" i="24"/>
  <c r="M61" i="24"/>
  <c r="AI61" i="24"/>
  <c r="AK61" i="24"/>
  <c r="AM61" i="24"/>
  <c r="AT61" i="24"/>
  <c r="N62" i="24"/>
  <c r="O62" i="24" s="1"/>
  <c r="D62" i="24" s="1"/>
  <c r="P62" i="24"/>
  <c r="Q62" i="24" s="1"/>
  <c r="T62" i="24"/>
  <c r="U62" i="24"/>
  <c r="V62" i="24"/>
  <c r="Z62" i="24"/>
  <c r="AU61" i="24" s="1"/>
  <c r="AR62" i="24"/>
  <c r="AT62" i="24"/>
  <c r="BE62" i="24"/>
  <c r="AI64" i="24"/>
  <c r="AK64" i="24"/>
  <c r="AM64" i="24"/>
  <c r="AO64" i="24"/>
  <c r="AY64" i="24"/>
  <c r="AZ64" i="24"/>
  <c r="BA64" i="24"/>
  <c r="BB64" i="24"/>
  <c r="AI66" i="24"/>
  <c r="M65" i="24"/>
  <c r="AI65" i="24"/>
  <c r="AK65" i="24"/>
  <c r="AM65" i="24"/>
  <c r="AT65" i="24"/>
  <c r="N66" i="24"/>
  <c r="O66" i="24" s="1"/>
  <c r="D66" i="24" s="1"/>
  <c r="P66" i="24"/>
  <c r="Q66" i="24" s="1"/>
  <c r="T66" i="24"/>
  <c r="U66" i="24"/>
  <c r="V66" i="24"/>
  <c r="Z66" i="24"/>
  <c r="AU65" i="24" s="1"/>
  <c r="AR66" i="24"/>
  <c r="AT66" i="24"/>
  <c r="BE66" i="24"/>
  <c r="AI28" i="24"/>
  <c r="AK28" i="24"/>
  <c r="AM28" i="24"/>
  <c r="AO28" i="24"/>
  <c r="AY28" i="24"/>
  <c r="AZ28" i="24"/>
  <c r="BA28" i="24"/>
  <c r="BB28" i="24"/>
  <c r="AW30" i="24"/>
  <c r="M29" i="24"/>
  <c r="AI29" i="24"/>
  <c r="AK29" i="24"/>
  <c r="AM29" i="24"/>
  <c r="AT29" i="24"/>
  <c r="N30" i="24"/>
  <c r="O30" i="24" s="1"/>
  <c r="D30" i="24" s="1"/>
  <c r="P30" i="24"/>
  <c r="Q30" i="24" s="1"/>
  <c r="T30" i="24"/>
  <c r="U30" i="24"/>
  <c r="V30" i="24"/>
  <c r="Z30" i="24"/>
  <c r="AU29" i="24" s="1"/>
  <c r="AR30" i="24"/>
  <c r="AT30" i="24"/>
  <c r="BE30" i="24"/>
  <c r="AI32" i="24"/>
  <c r="AK32" i="24"/>
  <c r="AM32" i="24"/>
  <c r="AO32" i="24"/>
  <c r="AY32" i="24"/>
  <c r="AZ32" i="24"/>
  <c r="BA32" i="24"/>
  <c r="BB32" i="24"/>
  <c r="M33" i="24"/>
  <c r="AI33" i="24"/>
  <c r="AK33" i="24"/>
  <c r="AM33" i="24"/>
  <c r="AT33" i="24"/>
  <c r="N34" i="24"/>
  <c r="O34" i="24" s="1"/>
  <c r="D34" i="24" s="1"/>
  <c r="P34" i="24"/>
  <c r="Q34" i="24" s="1"/>
  <c r="T34" i="24"/>
  <c r="U34" i="24"/>
  <c r="V34" i="24"/>
  <c r="Z34" i="24"/>
  <c r="AU33" i="24" s="1"/>
  <c r="AR34" i="24"/>
  <c r="AT34" i="24"/>
  <c r="BE34" i="24"/>
  <c r="AI36" i="24"/>
  <c r="AK36" i="24"/>
  <c r="AM36" i="24"/>
  <c r="AO36" i="24"/>
  <c r="AY36" i="24"/>
  <c r="AZ36" i="24"/>
  <c r="BA36" i="24"/>
  <c r="BB36" i="24"/>
  <c r="M37" i="24"/>
  <c r="AI37" i="24"/>
  <c r="AK37" i="24"/>
  <c r="AM37" i="24"/>
  <c r="AT37" i="24"/>
  <c r="N38" i="24"/>
  <c r="O38" i="24" s="1"/>
  <c r="D38" i="24" s="1"/>
  <c r="P38" i="24"/>
  <c r="Q38" i="24" s="1"/>
  <c r="T38" i="24"/>
  <c r="U38" i="24"/>
  <c r="V38" i="24"/>
  <c r="Z38" i="24"/>
  <c r="AU38" i="24" s="1"/>
  <c r="AR38" i="24"/>
  <c r="AT38" i="24"/>
  <c r="BE38" i="24"/>
  <c r="AI40" i="24"/>
  <c r="AK40" i="24"/>
  <c r="AM40" i="24"/>
  <c r="AO40" i="24"/>
  <c r="AY40" i="24"/>
  <c r="AZ40" i="24"/>
  <c r="BA40" i="24"/>
  <c r="BB40" i="24"/>
  <c r="M41" i="24"/>
  <c r="AI41" i="24"/>
  <c r="AK41" i="24"/>
  <c r="AM41" i="24"/>
  <c r="AT41" i="24"/>
  <c r="N42" i="24"/>
  <c r="O42" i="24" s="1"/>
  <c r="D42" i="24" s="1"/>
  <c r="P42" i="24"/>
  <c r="Q42" i="24" s="1"/>
  <c r="T42" i="24"/>
  <c r="U42" i="24"/>
  <c r="V42" i="24"/>
  <c r="Z42" i="24"/>
  <c r="AU41" i="24" s="1"/>
  <c r="AR42" i="24"/>
  <c r="AT42" i="24"/>
  <c r="BE42" i="24"/>
  <c r="AI24" i="24"/>
  <c r="AK24" i="24"/>
  <c r="AM24" i="24"/>
  <c r="AO24" i="24"/>
  <c r="AY24" i="24"/>
  <c r="AZ24" i="24"/>
  <c r="BA24" i="24"/>
  <c r="BB24" i="24"/>
  <c r="M25" i="24"/>
  <c r="AI25" i="24"/>
  <c r="AK25" i="24"/>
  <c r="AM25" i="24"/>
  <c r="AT25" i="24"/>
  <c r="N26" i="24"/>
  <c r="O26" i="24" s="1"/>
  <c r="D26" i="24" s="1"/>
  <c r="P26" i="24"/>
  <c r="Q26" i="24" s="1"/>
  <c r="T26" i="24"/>
  <c r="U26" i="24"/>
  <c r="V26" i="24"/>
  <c r="Z26" i="24"/>
  <c r="AU25" i="24" s="1"/>
  <c r="AR26" i="24"/>
  <c r="AT26" i="24"/>
  <c r="BE26" i="24"/>
  <c r="A327" i="11"/>
  <c r="A326" i="11"/>
  <c r="A325" i="11"/>
  <c r="A324" i="11"/>
  <c r="A323" i="11"/>
  <c r="A322" i="11"/>
  <c r="A321" i="11"/>
  <c r="B150" i="25"/>
  <c r="C160" i="25" s="1"/>
  <c r="B131" i="25"/>
  <c r="B112" i="25"/>
  <c r="C122" i="25" s="1"/>
  <c r="B93" i="25"/>
  <c r="B74" i="25"/>
  <c r="B79" i="25" s="1"/>
  <c r="AR80" i="25" s="1"/>
  <c r="B55" i="25"/>
  <c r="AR56" i="25" s="1"/>
  <c r="B36" i="25"/>
  <c r="B41" i="25" s="1"/>
  <c r="C327" i="11"/>
  <c r="C326" i="11"/>
  <c r="C325" i="11"/>
  <c r="C323" i="11"/>
  <c r="C322" i="11"/>
  <c r="C321" i="11"/>
  <c r="A21" i="25"/>
  <c r="O22" i="25" s="1"/>
  <c r="A40" i="25"/>
  <c r="O41" i="25" s="1"/>
  <c r="B92" i="25"/>
  <c r="AB94" i="25" s="1"/>
  <c r="C92" i="25"/>
  <c r="E92" i="25"/>
  <c r="F92" i="25"/>
  <c r="H92" i="25"/>
  <c r="I92" i="25"/>
  <c r="J92" i="25"/>
  <c r="AS92" i="25"/>
  <c r="AT92" i="25"/>
  <c r="AR94" i="25"/>
  <c r="K93" i="25"/>
  <c r="O93" i="25"/>
  <c r="AO93" i="25"/>
  <c r="E94" i="25"/>
  <c r="P94" i="25"/>
  <c r="Q94" i="25"/>
  <c r="R94" i="25"/>
  <c r="S94" i="25" s="1"/>
  <c r="T94" i="25"/>
  <c r="U94" i="25"/>
  <c r="V94" i="25"/>
  <c r="W94" i="25"/>
  <c r="X94" i="25"/>
  <c r="AD94" i="25"/>
  <c r="AE94" i="25"/>
  <c r="AC94" i="25" s="1"/>
  <c r="AO94" i="25"/>
  <c r="A97" i="25"/>
  <c r="O98" i="25" s="1"/>
  <c r="B97" i="25"/>
  <c r="C97" i="25"/>
  <c r="F97" i="25"/>
  <c r="I97" i="25"/>
  <c r="J97" i="25"/>
  <c r="AS97" i="25"/>
  <c r="AT97" i="25"/>
  <c r="AO98" i="25"/>
  <c r="C99" i="25"/>
  <c r="T99" i="25" s="1"/>
  <c r="E99" i="25"/>
  <c r="V99" i="25"/>
  <c r="X99" i="25"/>
  <c r="AB99" i="25"/>
  <c r="AP99" i="25" s="1"/>
  <c r="AF99" i="25"/>
  <c r="AI99" i="25" s="1"/>
  <c r="AO99" i="25"/>
  <c r="A102" i="25"/>
  <c r="O103" i="25" s="1"/>
  <c r="AJ102" i="25"/>
  <c r="AT102" i="25"/>
  <c r="AU102" i="25"/>
  <c r="AV102" i="25"/>
  <c r="AW102" i="25"/>
  <c r="AO103" i="25"/>
  <c r="C104" i="25"/>
  <c r="T104" i="25" s="1"/>
  <c r="P104" i="25"/>
  <c r="Q104" i="25" s="1"/>
  <c r="D104" i="25" s="1"/>
  <c r="R104" i="25"/>
  <c r="S104" i="25" s="1"/>
  <c r="V104" i="25"/>
  <c r="W104" i="25"/>
  <c r="X104" i="25"/>
  <c r="AB104" i="25"/>
  <c r="AC104" i="25"/>
  <c r="AF104" i="25" s="1"/>
  <c r="AM104" i="25"/>
  <c r="AO104" i="25"/>
  <c r="O107" i="25"/>
  <c r="B111" i="25"/>
  <c r="C111" i="25"/>
  <c r="E111" i="25"/>
  <c r="AD113" i="25" s="1"/>
  <c r="AC113" i="25" s="1"/>
  <c r="F111" i="25"/>
  <c r="H111" i="25"/>
  <c r="I111" i="25"/>
  <c r="J111" i="25"/>
  <c r="AS111" i="25"/>
  <c r="AT111" i="25"/>
  <c r="K112" i="25"/>
  <c r="O112" i="25"/>
  <c r="AO112" i="25"/>
  <c r="E113" i="25"/>
  <c r="P113" i="25"/>
  <c r="Q113" i="25"/>
  <c r="R113" i="25"/>
  <c r="S113" i="25" s="1"/>
  <c r="T113" i="25"/>
  <c r="U113" i="25"/>
  <c r="V113" i="25"/>
  <c r="W113" i="25"/>
  <c r="X113" i="25"/>
  <c r="AB113" i="25"/>
  <c r="AP112" i="25" s="1"/>
  <c r="AE113" i="25"/>
  <c r="AO113" i="25"/>
  <c r="A116" i="25"/>
  <c r="O117" i="25" s="1"/>
  <c r="B116" i="25"/>
  <c r="C116" i="25"/>
  <c r="F116" i="25"/>
  <c r="H116" i="25"/>
  <c r="I116" i="25"/>
  <c r="J116" i="25"/>
  <c r="AS116" i="25"/>
  <c r="AT116" i="25"/>
  <c r="B117" i="25"/>
  <c r="AR118" i="25" s="1"/>
  <c r="AO117" i="25"/>
  <c r="C118" i="25"/>
  <c r="K117" i="25" s="1"/>
  <c r="E118" i="25"/>
  <c r="P118" i="25"/>
  <c r="Q118" i="25"/>
  <c r="T118" i="25"/>
  <c r="U118" i="25"/>
  <c r="V118" i="25"/>
  <c r="X118" i="25"/>
  <c r="AB118" i="25"/>
  <c r="AP118" i="25" s="1"/>
  <c r="AE118" i="25"/>
  <c r="AF118" i="25"/>
  <c r="AG118" i="25" s="1"/>
  <c r="AO118" i="25"/>
  <c r="A121" i="25"/>
  <c r="O122" i="25" s="1"/>
  <c r="AJ121" i="25"/>
  <c r="AT121" i="25"/>
  <c r="AU121" i="25"/>
  <c r="AV121" i="25"/>
  <c r="AW121" i="25"/>
  <c r="B122" i="25"/>
  <c r="AO122" i="25"/>
  <c r="C123" i="25"/>
  <c r="U123" i="25" s="1"/>
  <c r="E123" i="25"/>
  <c r="P123" i="25"/>
  <c r="Q123" i="25" s="1"/>
  <c r="D123" i="25" s="1"/>
  <c r="R123" i="25"/>
  <c r="S123" i="25" s="1"/>
  <c r="T123" i="25"/>
  <c r="V123" i="25"/>
  <c r="W123" i="25"/>
  <c r="X123" i="25"/>
  <c r="AB123" i="25"/>
  <c r="AP122" i="25" s="1"/>
  <c r="AC123" i="25"/>
  <c r="AH123" i="25" s="1"/>
  <c r="AM123" i="25"/>
  <c r="AO123" i="25"/>
  <c r="AP123" i="25"/>
  <c r="O126" i="25"/>
  <c r="B130" i="25"/>
  <c r="C130" i="25"/>
  <c r="E130" i="25"/>
  <c r="F130" i="25"/>
  <c r="H130" i="25"/>
  <c r="I130" i="25"/>
  <c r="J130" i="25"/>
  <c r="AS130" i="25"/>
  <c r="AT130" i="25"/>
  <c r="AR132" i="25"/>
  <c r="D131" i="25"/>
  <c r="B326" i="11" s="1"/>
  <c r="K131" i="25"/>
  <c r="O131" i="25"/>
  <c r="AO131" i="25"/>
  <c r="E132" i="25"/>
  <c r="P132" i="25"/>
  <c r="Q132" i="25" s="1"/>
  <c r="R132" i="25"/>
  <c r="S132" i="25" s="1"/>
  <c r="T132" i="25"/>
  <c r="U132" i="25"/>
  <c r="V132" i="25"/>
  <c r="W132" i="25"/>
  <c r="X132" i="25"/>
  <c r="AB132" i="25"/>
  <c r="AF132" i="25" s="1"/>
  <c r="AD132" i="25"/>
  <c r="AC132" i="25" s="1"/>
  <c r="AE132" i="25"/>
  <c r="AO132" i="25"/>
  <c r="A135" i="25"/>
  <c r="B135" i="25"/>
  <c r="AB137" i="25" s="1"/>
  <c r="C135" i="25"/>
  <c r="H135" i="25"/>
  <c r="I135" i="25"/>
  <c r="J135" i="25"/>
  <c r="AS135" i="25"/>
  <c r="AT135" i="25"/>
  <c r="B136" i="25"/>
  <c r="AR137" i="25" s="1"/>
  <c r="K136" i="25"/>
  <c r="O136" i="25"/>
  <c r="AO136" i="25"/>
  <c r="C137" i="25"/>
  <c r="E135" i="25" s="1"/>
  <c r="P137" i="25"/>
  <c r="P146" i="25" s="1"/>
  <c r="D326" i="11" s="1"/>
  <c r="Q137" i="25"/>
  <c r="R137" i="25"/>
  <c r="U137" i="25"/>
  <c r="V137" i="25"/>
  <c r="W137" i="25"/>
  <c r="X137" i="25"/>
  <c r="AE137" i="25"/>
  <c r="AO137" i="25"/>
  <c r="A140" i="25"/>
  <c r="O141" i="25" s="1"/>
  <c r="AJ140" i="25"/>
  <c r="AT140" i="25"/>
  <c r="AU140" i="25"/>
  <c r="AV140" i="25"/>
  <c r="AW140" i="25"/>
  <c r="B141" i="25"/>
  <c r="C141" i="25"/>
  <c r="AS142" i="25" s="1"/>
  <c r="AU142" i="25" s="1"/>
  <c r="AO141" i="25"/>
  <c r="C142" i="25"/>
  <c r="D142" i="25" s="1"/>
  <c r="E142" i="25"/>
  <c r="P142" i="25"/>
  <c r="Q142" i="25"/>
  <c r="R142" i="25"/>
  <c r="S142" i="25" s="1"/>
  <c r="T142" i="25"/>
  <c r="U142" i="25"/>
  <c r="V142" i="25"/>
  <c r="W142" i="25"/>
  <c r="X142" i="25"/>
  <c r="AB142" i="25"/>
  <c r="AP141" i="25" s="1"/>
  <c r="AC142" i="25"/>
  <c r="AF142" i="25" s="1"/>
  <c r="AM142" i="25"/>
  <c r="AO142" i="25"/>
  <c r="AP142" i="25"/>
  <c r="O145" i="25"/>
  <c r="B149" i="25"/>
  <c r="C149" i="25"/>
  <c r="H149" i="25" s="1"/>
  <c r="AE151" i="25" s="1"/>
  <c r="I149" i="25"/>
  <c r="J149" i="25"/>
  <c r="AS149" i="25"/>
  <c r="AT149" i="25"/>
  <c r="K150" i="25"/>
  <c r="O150" i="25"/>
  <c r="AO150" i="25"/>
  <c r="V151" i="25"/>
  <c r="W151" i="25"/>
  <c r="X151" i="25"/>
  <c r="AO151" i="25"/>
  <c r="A154" i="25"/>
  <c r="O155" i="25" s="1"/>
  <c r="B154" i="25"/>
  <c r="AB156" i="25" s="1"/>
  <c r="AF156" i="25" s="1"/>
  <c r="C154" i="25"/>
  <c r="I154" i="25"/>
  <c r="J154" i="25"/>
  <c r="AS154" i="25"/>
  <c r="AT154" i="25"/>
  <c r="AO155" i="25"/>
  <c r="C156" i="25"/>
  <c r="W156" i="25" s="1"/>
  <c r="V156" i="25"/>
  <c r="X156" i="25"/>
  <c r="AO156" i="25"/>
  <c r="A159" i="25"/>
  <c r="O160" i="25" s="1"/>
  <c r="AJ159" i="25"/>
  <c r="AT159" i="25"/>
  <c r="AU159" i="25"/>
  <c r="AV159" i="25"/>
  <c r="AW159" i="25"/>
  <c r="AO160" i="25"/>
  <c r="C161" i="25"/>
  <c r="AP160" i="25" s="1"/>
  <c r="P161" i="25"/>
  <c r="Q161" i="25" s="1"/>
  <c r="R161" i="25"/>
  <c r="S161" i="25" s="1"/>
  <c r="V161" i="25"/>
  <c r="W161" i="25"/>
  <c r="X161" i="25"/>
  <c r="AB161" i="25"/>
  <c r="AC161" i="25" s="1"/>
  <c r="AO161" i="25"/>
  <c r="O164" i="25"/>
  <c r="B54" i="25"/>
  <c r="C54" i="25"/>
  <c r="E54" i="25"/>
  <c r="AD56" i="25" s="1"/>
  <c r="AC56" i="25" s="1"/>
  <c r="F54" i="25"/>
  <c r="H54" i="25"/>
  <c r="I54" i="25"/>
  <c r="J54" i="25"/>
  <c r="AS54" i="25"/>
  <c r="AT54" i="25"/>
  <c r="D55" i="25"/>
  <c r="B322" i="11" s="1"/>
  <c r="K55" i="25"/>
  <c r="O55" i="25"/>
  <c r="AO55" i="25"/>
  <c r="AP55" i="25"/>
  <c r="E56" i="25"/>
  <c r="P56" i="25"/>
  <c r="Q56" i="25"/>
  <c r="R56" i="25"/>
  <c r="T56" i="25"/>
  <c r="U56" i="25"/>
  <c r="V56" i="25"/>
  <c r="W56" i="25"/>
  <c r="X56" i="25"/>
  <c r="AB56" i="25"/>
  <c r="AE56" i="25"/>
  <c r="AF56" i="25"/>
  <c r="AI56" i="25" s="1"/>
  <c r="AO56" i="25"/>
  <c r="AP56" i="25"/>
  <c r="A59" i="25"/>
  <c r="B59" i="25"/>
  <c r="C59" i="25"/>
  <c r="F59" i="25"/>
  <c r="I59" i="25"/>
  <c r="J59" i="25"/>
  <c r="AS59" i="25"/>
  <c r="AT59" i="25"/>
  <c r="O60" i="25"/>
  <c r="AO60" i="25"/>
  <c r="C61" i="25"/>
  <c r="T61" i="25" s="1"/>
  <c r="E61" i="25"/>
  <c r="R61" i="25"/>
  <c r="S61" i="25" s="1"/>
  <c r="V61" i="25"/>
  <c r="X61" i="25"/>
  <c r="AB61" i="25"/>
  <c r="AP61" i="25" s="1"/>
  <c r="AF61" i="25"/>
  <c r="AI61" i="25" s="1"/>
  <c r="AO61" i="25"/>
  <c r="A64" i="25"/>
  <c r="O65" i="25" s="1"/>
  <c r="AJ64" i="25"/>
  <c r="AT64" i="25"/>
  <c r="AU64" i="25"/>
  <c r="AV64" i="25"/>
  <c r="AW64" i="25"/>
  <c r="AO65" i="25"/>
  <c r="C66" i="25"/>
  <c r="T66" i="25" s="1"/>
  <c r="P66" i="25"/>
  <c r="Q66" i="25"/>
  <c r="D66" i="25" s="1"/>
  <c r="R66" i="25"/>
  <c r="S66" i="25" s="1"/>
  <c r="V66" i="25"/>
  <c r="W66" i="25"/>
  <c r="X66" i="25"/>
  <c r="AB66" i="25"/>
  <c r="AC66" i="25"/>
  <c r="AF66" i="25" s="1"/>
  <c r="AM66" i="25"/>
  <c r="AO66" i="25"/>
  <c r="O69" i="25"/>
  <c r="B73" i="25"/>
  <c r="C73" i="25"/>
  <c r="E73" i="25"/>
  <c r="AD75" i="25" s="1"/>
  <c r="F73" i="25"/>
  <c r="H73" i="25"/>
  <c r="I73" i="25"/>
  <c r="J73" i="25"/>
  <c r="AS73" i="25"/>
  <c r="AT73" i="25"/>
  <c r="K74" i="25"/>
  <c r="O74" i="25"/>
  <c r="AO74" i="25"/>
  <c r="E75" i="25"/>
  <c r="P75" i="25"/>
  <c r="Q75" i="25" s="1"/>
  <c r="R75" i="25"/>
  <c r="S75" i="25" s="1"/>
  <c r="T75" i="25"/>
  <c r="U75" i="25"/>
  <c r="V75" i="25"/>
  <c r="W75" i="25"/>
  <c r="X75" i="25"/>
  <c r="AB75" i="25"/>
  <c r="AP74" i="25" s="1"/>
  <c r="AE75" i="25"/>
  <c r="AO75" i="25"/>
  <c r="A78" i="25"/>
  <c r="O79" i="25" s="1"/>
  <c r="B78" i="25"/>
  <c r="AB80" i="25" s="1"/>
  <c r="C78" i="25"/>
  <c r="F78" i="25"/>
  <c r="H78" i="25"/>
  <c r="I78" i="25"/>
  <c r="J78" i="25"/>
  <c r="AS78" i="25"/>
  <c r="AT78" i="25"/>
  <c r="AO79" i="25"/>
  <c r="C80" i="25"/>
  <c r="K79" i="25" s="1"/>
  <c r="E80" i="25"/>
  <c r="P80" i="25"/>
  <c r="Q80" i="25"/>
  <c r="R80" i="25"/>
  <c r="S80" i="25"/>
  <c r="T80" i="25"/>
  <c r="U80" i="25"/>
  <c r="V80" i="25"/>
  <c r="X80" i="25"/>
  <c r="AE80" i="25"/>
  <c r="AO80" i="25"/>
  <c r="A83" i="25"/>
  <c r="O84" i="25" s="1"/>
  <c r="AJ83" i="25"/>
  <c r="AT83" i="25"/>
  <c r="AU83" i="25"/>
  <c r="AV83" i="25"/>
  <c r="AW83" i="25"/>
  <c r="AO84" i="25"/>
  <c r="C85" i="25"/>
  <c r="E85" i="25"/>
  <c r="P85" i="25"/>
  <c r="Q85" i="25" s="1"/>
  <c r="D85" i="25" s="1"/>
  <c r="R85" i="25"/>
  <c r="S85" i="25" s="1"/>
  <c r="T85" i="25"/>
  <c r="U85" i="25"/>
  <c r="V85" i="25"/>
  <c r="W85" i="25"/>
  <c r="X85" i="25"/>
  <c r="AB85" i="25"/>
  <c r="AP84" i="25" s="1"/>
  <c r="AC85" i="25"/>
  <c r="AH85" i="25" s="1"/>
  <c r="AM85" i="25"/>
  <c r="AO85" i="25"/>
  <c r="O88" i="25"/>
  <c r="B35" i="25"/>
  <c r="C35" i="25"/>
  <c r="E35" i="25"/>
  <c r="F35" i="25"/>
  <c r="H35" i="25"/>
  <c r="I35" i="25"/>
  <c r="J35" i="25"/>
  <c r="AS35" i="25"/>
  <c r="AT35" i="25"/>
  <c r="K36" i="25"/>
  <c r="O36" i="25"/>
  <c r="AO36" i="25"/>
  <c r="E37" i="25"/>
  <c r="P37" i="25"/>
  <c r="Q37" i="25"/>
  <c r="R37" i="25"/>
  <c r="S37" i="25" s="1"/>
  <c r="T37" i="25"/>
  <c r="U37" i="25"/>
  <c r="V37" i="25"/>
  <c r="W37" i="25"/>
  <c r="X37" i="25"/>
  <c r="AB37" i="25"/>
  <c r="AP36" i="25" s="1"/>
  <c r="AD37" i="25"/>
  <c r="AE37" i="25"/>
  <c r="AC37" i="25" s="1"/>
  <c r="AF37" i="25"/>
  <c r="AI37" i="25" s="1"/>
  <c r="AO37" i="25"/>
  <c r="AP37" i="25"/>
  <c r="B40" i="25"/>
  <c r="C40" i="25"/>
  <c r="AB42" i="25" s="1"/>
  <c r="F40" i="25"/>
  <c r="I40" i="25"/>
  <c r="J40" i="25"/>
  <c r="AS40" i="25"/>
  <c r="AT40" i="25"/>
  <c r="AO41" i="25"/>
  <c r="C42" i="25"/>
  <c r="T42" i="25" s="1"/>
  <c r="E42" i="25"/>
  <c r="V42" i="25"/>
  <c r="X42" i="25"/>
  <c r="AO42" i="25"/>
  <c r="A45" i="25"/>
  <c r="O46" i="25" s="1"/>
  <c r="AJ45" i="25"/>
  <c r="AT45" i="25"/>
  <c r="AU45" i="25"/>
  <c r="AV45" i="25"/>
  <c r="AW45" i="25"/>
  <c r="AO46" i="25"/>
  <c r="C47" i="25"/>
  <c r="T47" i="25" s="1"/>
  <c r="P47" i="25"/>
  <c r="Q47" i="25"/>
  <c r="D47" i="25" s="1"/>
  <c r="R47" i="25"/>
  <c r="S47" i="25" s="1"/>
  <c r="V47" i="25"/>
  <c r="W47" i="25"/>
  <c r="X47" i="25"/>
  <c r="AB47" i="25"/>
  <c r="AC47" i="25"/>
  <c r="AF47" i="25" s="1"/>
  <c r="AD47" i="25"/>
  <c r="Z47" i="25" s="1"/>
  <c r="AM47" i="25"/>
  <c r="AO47" i="25"/>
  <c r="O50" i="25"/>
  <c r="O31" i="25"/>
  <c r="X23" i="25"/>
  <c r="X18" i="25"/>
  <c r="W18" i="25"/>
  <c r="J16" i="25"/>
  <c r="J21" i="25"/>
  <c r="I16" i="25"/>
  <c r="C16" i="25"/>
  <c r="H16" i="25" s="1"/>
  <c r="B21" i="25"/>
  <c r="C21" i="25"/>
  <c r="B16" i="25"/>
  <c r="C23" i="25"/>
  <c r="E28" i="25" s="1"/>
  <c r="I21" i="25"/>
  <c r="A320" i="11"/>
  <c r="W28" i="25"/>
  <c r="X28" i="25"/>
  <c r="C320" i="11"/>
  <c r="B17" i="25"/>
  <c r="D17" i="25" s="1"/>
  <c r="B320" i="11" s="1"/>
  <c r="C28" i="25"/>
  <c r="AM28" i="25" s="1"/>
  <c r="A26" i="25"/>
  <c r="O27" i="25" s="1"/>
  <c r="AO28" i="25"/>
  <c r="AB28" i="25"/>
  <c r="V28" i="25"/>
  <c r="R28" i="25"/>
  <c r="S28" i="25" s="1"/>
  <c r="P28" i="25"/>
  <c r="Q28" i="25" s="1"/>
  <c r="AO27" i="25"/>
  <c r="AW26" i="25"/>
  <c r="AV26" i="25"/>
  <c r="AU26" i="25"/>
  <c r="AT26" i="25"/>
  <c r="AJ26" i="25"/>
  <c r="AO23" i="25"/>
  <c r="V23" i="25"/>
  <c r="AO22" i="25"/>
  <c r="AT21" i="25"/>
  <c r="AS21" i="25"/>
  <c r="AO18" i="25"/>
  <c r="V18" i="25"/>
  <c r="AO17" i="25"/>
  <c r="O17" i="25"/>
  <c r="AT16" i="25"/>
  <c r="AS16" i="25"/>
  <c r="BE22" i="24"/>
  <c r="P22" i="24"/>
  <c r="Q22" i="24" s="1"/>
  <c r="C21" i="24"/>
  <c r="AT22" i="24"/>
  <c r="AR22" i="24"/>
  <c r="Z22" i="24"/>
  <c r="AU22" i="24" s="1"/>
  <c r="V22" i="24"/>
  <c r="U22" i="24"/>
  <c r="T22" i="24"/>
  <c r="AT21" i="24"/>
  <c r="AM21" i="24"/>
  <c r="AK21" i="24"/>
  <c r="AI21" i="24"/>
  <c r="M21" i="24"/>
  <c r="B21" i="24"/>
  <c r="BB20" i="24"/>
  <c r="BA20" i="24"/>
  <c r="AZ20" i="24"/>
  <c r="AY20" i="24"/>
  <c r="AO20" i="24"/>
  <c r="AM20" i="24"/>
  <c r="AK20" i="24"/>
  <c r="AI20" i="24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A318" i="11"/>
  <c r="A317" i="11"/>
  <c r="A316" i="11"/>
  <c r="A315" i="11"/>
  <c r="A314" i="11"/>
  <c r="A313" i="11"/>
  <c r="A312" i="11"/>
  <c r="A311" i="11"/>
  <c r="A310" i="11"/>
  <c r="A309" i="11"/>
  <c r="A308" i="11"/>
  <c r="A307" i="11"/>
  <c r="A306" i="11"/>
  <c r="A305" i="11"/>
  <c r="A304" i="11"/>
  <c r="A303" i="11"/>
  <c r="A302" i="11"/>
  <c r="A301" i="11"/>
  <c r="A300" i="11"/>
  <c r="A299" i="11"/>
  <c r="A298" i="11"/>
  <c r="A297" i="11"/>
  <c r="A296" i="11"/>
  <c r="A295" i="11"/>
  <c r="A294" i="11"/>
  <c r="A293" i="11"/>
  <c r="A292" i="11"/>
  <c r="A291" i="11"/>
  <c r="A290" i="11"/>
  <c r="A256" i="11"/>
  <c r="A255" i="11"/>
  <c r="A254" i="11"/>
  <c r="A253" i="11"/>
  <c r="A252" i="11"/>
  <c r="A251" i="11"/>
  <c r="A250" i="11"/>
  <c r="A249" i="11"/>
  <c r="A248" i="11"/>
  <c r="A247" i="11"/>
  <c r="A246" i="11"/>
  <c r="A245" i="11"/>
  <c r="A244" i="11"/>
  <c r="A243" i="11"/>
  <c r="A242" i="11"/>
  <c r="A241" i="11"/>
  <c r="A240" i="11"/>
  <c r="A239" i="11"/>
  <c r="A238" i="11"/>
  <c r="A237" i="11"/>
  <c r="A236" i="11"/>
  <c r="A235" i="11"/>
  <c r="A234" i="11"/>
  <c r="A233" i="11"/>
  <c r="A232" i="11"/>
  <c r="A231" i="11"/>
  <c r="A230" i="11"/>
  <c r="A229" i="11"/>
  <c r="A228" i="11"/>
  <c r="A225" i="11"/>
  <c r="A224" i="11"/>
  <c r="A223" i="11"/>
  <c r="A222" i="11"/>
  <c r="A221" i="11"/>
  <c r="A220" i="11"/>
  <c r="A219" i="11"/>
  <c r="A218" i="11"/>
  <c r="A217" i="11"/>
  <c r="A216" i="11"/>
  <c r="A215" i="11"/>
  <c r="A214" i="11"/>
  <c r="A213" i="11"/>
  <c r="A212" i="11"/>
  <c r="A211" i="11"/>
  <c r="A210" i="11"/>
  <c r="A209" i="11"/>
  <c r="A208" i="11"/>
  <c r="A207" i="11"/>
  <c r="A206" i="11"/>
  <c r="A205" i="11"/>
  <c r="A204" i="11"/>
  <c r="A203" i="11"/>
  <c r="A202" i="11"/>
  <c r="A201" i="11"/>
  <c r="A200" i="11"/>
  <c r="A199" i="11"/>
  <c r="A198" i="11"/>
  <c r="A197" i="11"/>
  <c r="A289" i="11"/>
  <c r="A196" i="11"/>
  <c r="A227" i="11"/>
  <c r="A194" i="11"/>
  <c r="A193" i="11"/>
  <c r="A192" i="11"/>
  <c r="A191" i="11"/>
  <c r="A190" i="11"/>
  <c r="A189" i="11"/>
  <c r="A188" i="11"/>
  <c r="A187" i="11"/>
  <c r="A186" i="11"/>
  <c r="A185" i="11"/>
  <c r="A184" i="11"/>
  <c r="A183" i="11"/>
  <c r="A182" i="11"/>
  <c r="A180" i="11"/>
  <c r="A179" i="11"/>
  <c r="A178" i="11"/>
  <c r="A177" i="11"/>
  <c r="A176" i="11"/>
  <c r="A175" i="11"/>
  <c r="A174" i="11"/>
  <c r="A173" i="11"/>
  <c r="A172" i="11"/>
  <c r="A171" i="11"/>
  <c r="A170" i="11"/>
  <c r="A169" i="11"/>
  <c r="A168" i="11"/>
  <c r="A167" i="11"/>
  <c r="A166" i="11"/>
  <c r="A181" i="11"/>
  <c r="A165" i="11"/>
  <c r="A163" i="11"/>
  <c r="A162" i="11"/>
  <c r="A161" i="11"/>
  <c r="A160" i="11"/>
  <c r="A159" i="11"/>
  <c r="A158" i="11"/>
  <c r="A157" i="11"/>
  <c r="A156" i="11"/>
  <c r="A155" i="11"/>
  <c r="A154" i="11"/>
  <c r="A153" i="11"/>
  <c r="A152" i="11"/>
  <c r="A151" i="11"/>
  <c r="A150" i="11"/>
  <c r="A149" i="11"/>
  <c r="A148" i="11"/>
  <c r="A147" i="11"/>
  <c r="A146" i="11"/>
  <c r="A145" i="11"/>
  <c r="A144" i="11"/>
  <c r="A143" i="11"/>
  <c r="A142" i="11"/>
  <c r="A141" i="11"/>
  <c r="A140" i="11"/>
  <c r="A139" i="11"/>
  <c r="A138" i="11"/>
  <c r="A137" i="11"/>
  <c r="A136" i="11"/>
  <c r="A135" i="11"/>
  <c r="A134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A120" i="11"/>
  <c r="A119" i="11"/>
  <c r="A118" i="11"/>
  <c r="A117" i="11"/>
  <c r="A116" i="11"/>
  <c r="A115" i="11"/>
  <c r="A114" i="11"/>
  <c r="A113" i="11"/>
  <c r="A112" i="11"/>
  <c r="A111" i="11"/>
  <c r="A110" i="11"/>
  <c r="A109" i="11"/>
  <c r="A108" i="11"/>
  <c r="A107" i="11"/>
  <c r="A106" i="11"/>
  <c r="A105" i="11"/>
  <c r="A104" i="11"/>
  <c r="A103" i="11"/>
  <c r="AA1" i="20"/>
  <c r="E92" i="20"/>
  <c r="I92" i="20" s="1"/>
  <c r="F92" i="20"/>
  <c r="AK94" i="20" s="1"/>
  <c r="G92" i="20"/>
  <c r="AS92" i="20"/>
  <c r="AU92" i="20"/>
  <c r="AW92" i="20"/>
  <c r="AY92" i="20"/>
  <c r="BH92" i="20"/>
  <c r="BI92" i="20"/>
  <c r="BJ92" i="20"/>
  <c r="BK92" i="20"/>
  <c r="B93" i="20"/>
  <c r="BF94" i="20" s="1"/>
  <c r="D93" i="20"/>
  <c r="K93" i="20"/>
  <c r="V93" i="20"/>
  <c r="AS93" i="20"/>
  <c r="AU93" i="20"/>
  <c r="AW93" i="20"/>
  <c r="W94" i="20"/>
  <c r="X94" i="20"/>
  <c r="D307" i="11" s="1"/>
  <c r="Y94" i="20"/>
  <c r="Z94" i="20" s="1"/>
  <c r="AQ94" i="20" s="1"/>
  <c r="AC94" i="20"/>
  <c r="AD94" i="20"/>
  <c r="AE94" i="20"/>
  <c r="AF94" i="20"/>
  <c r="BD94" i="20" s="1"/>
  <c r="AG94" i="20"/>
  <c r="AI94" i="20"/>
  <c r="BB94" i="20"/>
  <c r="E96" i="20"/>
  <c r="AH98" i="20" s="1"/>
  <c r="AM98" i="20" s="1"/>
  <c r="F96" i="20"/>
  <c r="AK98" i="20" s="1"/>
  <c r="G96" i="20"/>
  <c r="AS96" i="20"/>
  <c r="AU96" i="20"/>
  <c r="AW96" i="20"/>
  <c r="AY96" i="20"/>
  <c r="BH96" i="20"/>
  <c r="BI96" i="20"/>
  <c r="BJ96" i="20"/>
  <c r="BK96" i="20"/>
  <c r="B97" i="20"/>
  <c r="D97" i="20"/>
  <c r="BG98" i="20" s="1"/>
  <c r="K97" i="20"/>
  <c r="V97" i="20"/>
  <c r="AS97" i="20"/>
  <c r="AU97" i="20"/>
  <c r="AW97" i="20"/>
  <c r="W98" i="20"/>
  <c r="X98" i="20"/>
  <c r="E98" i="20" s="1"/>
  <c r="Y98" i="20"/>
  <c r="Z98" i="20" s="1"/>
  <c r="AC98" i="20"/>
  <c r="AD98" i="20"/>
  <c r="AE98" i="20"/>
  <c r="AF98" i="20"/>
  <c r="BD98" i="20" s="1"/>
  <c r="AI98" i="20"/>
  <c r="BB98" i="20"/>
  <c r="E100" i="20"/>
  <c r="I100" i="20" s="1"/>
  <c r="J100" i="20" s="1"/>
  <c r="F100" i="20"/>
  <c r="G100" i="20"/>
  <c r="AS100" i="20"/>
  <c r="AU100" i="20"/>
  <c r="AW100" i="20"/>
  <c r="AY100" i="20"/>
  <c r="BH100" i="20"/>
  <c r="BI100" i="20"/>
  <c r="BJ100" i="20"/>
  <c r="BK100" i="20"/>
  <c r="B101" i="20"/>
  <c r="BF102" i="20" s="1"/>
  <c r="D101" i="20"/>
  <c r="K101" i="20"/>
  <c r="V101" i="20"/>
  <c r="AS101" i="20"/>
  <c r="AU101" i="20"/>
  <c r="AW101" i="20"/>
  <c r="W102" i="20"/>
  <c r="X102" i="20" s="1"/>
  <c r="D309" i="11" s="1"/>
  <c r="Y102" i="20"/>
  <c r="Z102" i="20" s="1"/>
  <c r="AC102" i="20"/>
  <c r="AD102" i="20"/>
  <c r="AE102" i="20"/>
  <c r="AF102" i="20"/>
  <c r="BD102" i="20" s="1"/>
  <c r="AG102" i="20"/>
  <c r="AH102" i="20"/>
  <c r="AM102" i="20" s="1"/>
  <c r="AN102" i="20" s="1"/>
  <c r="AI102" i="20"/>
  <c r="AK102" i="20"/>
  <c r="BB102" i="20"/>
  <c r="E104" i="20"/>
  <c r="AG106" i="20" s="1"/>
  <c r="F104" i="20"/>
  <c r="AK106" i="20" s="1"/>
  <c r="G104" i="20"/>
  <c r="AS104" i="20"/>
  <c r="AU104" i="20"/>
  <c r="AW104" i="20"/>
  <c r="AY104" i="20"/>
  <c r="BH104" i="20"/>
  <c r="BI104" i="20"/>
  <c r="BJ104" i="20"/>
  <c r="BK104" i="20"/>
  <c r="B105" i="20"/>
  <c r="D105" i="20"/>
  <c r="BG106" i="20" s="1"/>
  <c r="K105" i="20"/>
  <c r="V105" i="20"/>
  <c r="AS105" i="20"/>
  <c r="AU105" i="20"/>
  <c r="AW105" i="20"/>
  <c r="W106" i="20"/>
  <c r="X106" i="20" s="1"/>
  <c r="D310" i="11" s="1"/>
  <c r="Y106" i="20"/>
  <c r="Z106" i="20" s="1"/>
  <c r="AC106" i="20"/>
  <c r="AD106" i="20"/>
  <c r="AE106" i="20"/>
  <c r="AF106" i="20"/>
  <c r="BD106" i="20" s="1"/>
  <c r="AI106" i="20"/>
  <c r="BB106" i="20"/>
  <c r="E108" i="20"/>
  <c r="F108" i="20"/>
  <c r="AK110" i="20" s="1"/>
  <c r="G108" i="20"/>
  <c r="AS108" i="20"/>
  <c r="AU108" i="20"/>
  <c r="AW108" i="20"/>
  <c r="AY108" i="20"/>
  <c r="BH108" i="20"/>
  <c r="BI108" i="20"/>
  <c r="BJ108" i="20"/>
  <c r="BK108" i="20"/>
  <c r="B109" i="20"/>
  <c r="BF110" i="20" s="1"/>
  <c r="D109" i="20"/>
  <c r="K109" i="20"/>
  <c r="V109" i="20"/>
  <c r="AS109" i="20"/>
  <c r="AU109" i="20"/>
  <c r="AW109" i="20"/>
  <c r="W110" i="20"/>
  <c r="X110" i="20" s="1"/>
  <c r="D311" i="11" s="1"/>
  <c r="Y110" i="20"/>
  <c r="Z110" i="20" s="1"/>
  <c r="AC110" i="20"/>
  <c r="AD110" i="20"/>
  <c r="AE110" i="20"/>
  <c r="AF110" i="20"/>
  <c r="AG110" i="20"/>
  <c r="AH110" i="20"/>
  <c r="AM110" i="20" s="1"/>
  <c r="AN110" i="20" s="1"/>
  <c r="AI110" i="20"/>
  <c r="BB110" i="20"/>
  <c r="BD110" i="20"/>
  <c r="E112" i="20"/>
  <c r="I112" i="20" s="1"/>
  <c r="F112" i="20"/>
  <c r="G112" i="20"/>
  <c r="AS112" i="20"/>
  <c r="AU112" i="20"/>
  <c r="AW112" i="20"/>
  <c r="AY112" i="20"/>
  <c r="BH112" i="20"/>
  <c r="BI112" i="20"/>
  <c r="BJ112" i="20"/>
  <c r="BK112" i="20"/>
  <c r="B113" i="20"/>
  <c r="BF114" i="20" s="1"/>
  <c r="D113" i="20"/>
  <c r="K113" i="20"/>
  <c r="V113" i="20"/>
  <c r="AS113" i="20"/>
  <c r="AU113" i="20"/>
  <c r="AW113" i="20"/>
  <c r="W114" i="20"/>
  <c r="X114" i="20" s="1"/>
  <c r="D312" i="11" s="1"/>
  <c r="Y114" i="20"/>
  <c r="Z114" i="20" s="1"/>
  <c r="AC114" i="20"/>
  <c r="AD114" i="20"/>
  <c r="AE114" i="20"/>
  <c r="AF114" i="20"/>
  <c r="BD114" i="20" s="1"/>
  <c r="AI114" i="20"/>
  <c r="AK114" i="20"/>
  <c r="BB114" i="20"/>
  <c r="E116" i="20"/>
  <c r="F116" i="20"/>
  <c r="AK118" i="20" s="1"/>
  <c r="G116" i="20"/>
  <c r="I116" i="20"/>
  <c r="AS116" i="20"/>
  <c r="AU116" i="20"/>
  <c r="AW116" i="20"/>
  <c r="AY116" i="20"/>
  <c r="BH116" i="20"/>
  <c r="BI116" i="20"/>
  <c r="BJ116" i="20"/>
  <c r="BK116" i="20"/>
  <c r="B117" i="20"/>
  <c r="D117" i="20"/>
  <c r="K117" i="20"/>
  <c r="V117" i="20"/>
  <c r="AS117" i="20"/>
  <c r="AU117" i="20"/>
  <c r="AW117" i="20"/>
  <c r="W118" i="20"/>
  <c r="X118" i="20" s="1"/>
  <c r="E118" i="20" s="1"/>
  <c r="Y118" i="20"/>
  <c r="Z118" i="20" s="1"/>
  <c r="AQ118" i="20" s="1"/>
  <c r="AC118" i="20"/>
  <c r="AD118" i="20"/>
  <c r="AE118" i="20"/>
  <c r="AF118" i="20"/>
  <c r="BD118" i="20" s="1"/>
  <c r="AG118" i="20"/>
  <c r="AH118" i="20"/>
  <c r="AM118" i="20" s="1"/>
  <c r="AN118" i="20" s="1"/>
  <c r="AI118" i="20"/>
  <c r="BB118" i="20"/>
  <c r="BG118" i="20"/>
  <c r="E120" i="20"/>
  <c r="AH122" i="20" s="1"/>
  <c r="AM122" i="20" s="1"/>
  <c r="F120" i="20"/>
  <c r="G120" i="20"/>
  <c r="AS120" i="20"/>
  <c r="AU120" i="20"/>
  <c r="AW120" i="20"/>
  <c r="AY120" i="20"/>
  <c r="BH120" i="20"/>
  <c r="BI120" i="20"/>
  <c r="BJ120" i="20"/>
  <c r="BK120" i="20"/>
  <c r="B121" i="20"/>
  <c r="D121" i="20"/>
  <c r="BG122" i="20" s="1"/>
  <c r="K121" i="20"/>
  <c r="V121" i="20"/>
  <c r="AS121" i="20"/>
  <c r="AU121" i="20"/>
  <c r="AW121" i="20"/>
  <c r="W122" i="20"/>
  <c r="X122" i="20" s="1"/>
  <c r="Y122" i="20"/>
  <c r="Z122" i="20" s="1"/>
  <c r="AC122" i="20"/>
  <c r="AD122" i="20"/>
  <c r="AE122" i="20"/>
  <c r="AF122" i="20"/>
  <c r="BD122" i="20" s="1"/>
  <c r="AI122" i="20"/>
  <c r="AK122" i="20"/>
  <c r="BB122" i="20"/>
  <c r="E124" i="20"/>
  <c r="F124" i="20"/>
  <c r="AK126" i="20" s="1"/>
  <c r="G124" i="20"/>
  <c r="AS124" i="20"/>
  <c r="AU124" i="20"/>
  <c r="AW124" i="20"/>
  <c r="AY124" i="20"/>
  <c r="BH124" i="20"/>
  <c r="BI124" i="20"/>
  <c r="BJ124" i="20"/>
  <c r="BK124" i="20"/>
  <c r="B125" i="20"/>
  <c r="BF126" i="20" s="1"/>
  <c r="D125" i="20"/>
  <c r="K125" i="20"/>
  <c r="V125" i="20"/>
  <c r="AS125" i="20"/>
  <c r="AU125" i="20"/>
  <c r="AW125" i="20"/>
  <c r="W126" i="20"/>
  <c r="X126" i="20" s="1"/>
  <c r="D315" i="11" s="1"/>
  <c r="Y126" i="20"/>
  <c r="Z126" i="20" s="1"/>
  <c r="AC126" i="20"/>
  <c r="AD126" i="20"/>
  <c r="AE126" i="20"/>
  <c r="AF126" i="20"/>
  <c r="AG126" i="20"/>
  <c r="AH126" i="20"/>
  <c r="AM126" i="20" s="1"/>
  <c r="AN126" i="20" s="1"/>
  <c r="AI126" i="20"/>
  <c r="BB126" i="20"/>
  <c r="BD126" i="20"/>
  <c r="E128" i="20"/>
  <c r="I128" i="20" s="1"/>
  <c r="F128" i="20"/>
  <c r="AK130" i="20" s="1"/>
  <c r="G128" i="20"/>
  <c r="AS128" i="20"/>
  <c r="AU128" i="20"/>
  <c r="AW128" i="20"/>
  <c r="AY128" i="20"/>
  <c r="BH128" i="20"/>
  <c r="BI128" i="20"/>
  <c r="BJ128" i="20"/>
  <c r="BK128" i="20"/>
  <c r="B129" i="20"/>
  <c r="D129" i="20"/>
  <c r="K129" i="20"/>
  <c r="V129" i="20"/>
  <c r="AS129" i="20"/>
  <c r="AU129" i="20"/>
  <c r="AW129" i="20"/>
  <c r="W130" i="20"/>
  <c r="X130" i="20" s="1"/>
  <c r="D316" i="11" s="1"/>
  <c r="Y130" i="20"/>
  <c r="Z130" i="20" s="1"/>
  <c r="AC130" i="20"/>
  <c r="AD130" i="20"/>
  <c r="AE130" i="20"/>
  <c r="AF130" i="20"/>
  <c r="BD130" i="20" s="1"/>
  <c r="AG130" i="20"/>
  <c r="AH130" i="20"/>
  <c r="AM130" i="20" s="1"/>
  <c r="AN130" i="20" s="1"/>
  <c r="AI130" i="20"/>
  <c r="BB130" i="20"/>
  <c r="E132" i="20"/>
  <c r="I132" i="20" s="1"/>
  <c r="F132" i="20"/>
  <c r="G132" i="20"/>
  <c r="AS132" i="20"/>
  <c r="AU132" i="20"/>
  <c r="AW132" i="20"/>
  <c r="AY132" i="20"/>
  <c r="BH132" i="20"/>
  <c r="BI132" i="20"/>
  <c r="BJ132" i="20"/>
  <c r="BK132" i="20"/>
  <c r="B133" i="20"/>
  <c r="D133" i="20"/>
  <c r="K133" i="20"/>
  <c r="V133" i="20"/>
  <c r="AS133" i="20"/>
  <c r="AU133" i="20"/>
  <c r="AW133" i="20"/>
  <c r="W134" i="20"/>
  <c r="X134" i="20" s="1"/>
  <c r="D317" i="11" s="1"/>
  <c r="Y134" i="20"/>
  <c r="Z134" i="20" s="1"/>
  <c r="AQ134" i="20" s="1"/>
  <c r="AC134" i="20"/>
  <c r="AD134" i="20"/>
  <c r="AE134" i="20"/>
  <c r="AF134" i="20"/>
  <c r="BD134" i="20" s="1"/>
  <c r="AI134" i="20"/>
  <c r="AK134" i="20"/>
  <c r="BB134" i="20"/>
  <c r="E136" i="20"/>
  <c r="AH138" i="20" s="1"/>
  <c r="AM138" i="20" s="1"/>
  <c r="F136" i="20"/>
  <c r="G136" i="20"/>
  <c r="AS136" i="20"/>
  <c r="AU136" i="20"/>
  <c r="AW136" i="20"/>
  <c r="AY136" i="20"/>
  <c r="BH136" i="20"/>
  <c r="BI136" i="20"/>
  <c r="BJ136" i="20"/>
  <c r="BK136" i="20"/>
  <c r="B137" i="20"/>
  <c r="BF138" i="20" s="1"/>
  <c r="D137" i="20"/>
  <c r="BG138" i="20" s="1"/>
  <c r="K137" i="20"/>
  <c r="V137" i="20"/>
  <c r="AS137" i="20"/>
  <c r="AU137" i="20"/>
  <c r="AW137" i="20"/>
  <c r="W138" i="20"/>
  <c r="X138" i="20" s="1"/>
  <c r="E138" i="20" s="1"/>
  <c r="Y138" i="20"/>
  <c r="Z138" i="20" s="1"/>
  <c r="AC138" i="20"/>
  <c r="AD138" i="20"/>
  <c r="AE138" i="20"/>
  <c r="AF138" i="20"/>
  <c r="AI138" i="20"/>
  <c r="AK138" i="20"/>
  <c r="BB138" i="20"/>
  <c r="BD138" i="20"/>
  <c r="E56" i="20"/>
  <c r="I56" i="20" s="1"/>
  <c r="F56" i="20"/>
  <c r="G56" i="20"/>
  <c r="AS56" i="20"/>
  <c r="AU56" i="20"/>
  <c r="AW56" i="20"/>
  <c r="AY56" i="20"/>
  <c r="BH56" i="20"/>
  <c r="BI56" i="20"/>
  <c r="BJ56" i="20"/>
  <c r="BK56" i="20"/>
  <c r="B57" i="20"/>
  <c r="D57" i="20"/>
  <c r="K57" i="20"/>
  <c r="V57" i="20"/>
  <c r="AS57" i="20"/>
  <c r="AU57" i="20"/>
  <c r="AW57" i="20"/>
  <c r="W58" i="20"/>
  <c r="X58" i="20"/>
  <c r="D298" i="11" s="1"/>
  <c r="Y58" i="20"/>
  <c r="Z58" i="20" s="1"/>
  <c r="AC58" i="20"/>
  <c r="AD58" i="20"/>
  <c r="AE58" i="20"/>
  <c r="AF58" i="20"/>
  <c r="BD58" i="20" s="1"/>
  <c r="AI58" i="20"/>
  <c r="AK58" i="20"/>
  <c r="BB58" i="20"/>
  <c r="E60" i="20"/>
  <c r="AG62" i="20" s="1"/>
  <c r="F60" i="20"/>
  <c r="AK62" i="20" s="1"/>
  <c r="G60" i="20"/>
  <c r="AS60" i="20"/>
  <c r="AU60" i="20"/>
  <c r="AW60" i="20"/>
  <c r="AY60" i="20"/>
  <c r="BH60" i="20"/>
  <c r="BI60" i="20"/>
  <c r="BJ60" i="20"/>
  <c r="BK60" i="20"/>
  <c r="B61" i="20"/>
  <c r="BF62" i="20" s="1"/>
  <c r="D61" i="20"/>
  <c r="BG62" i="20" s="1"/>
  <c r="K61" i="20"/>
  <c r="V61" i="20"/>
  <c r="AS61" i="20"/>
  <c r="AU61" i="20"/>
  <c r="AW61" i="20"/>
  <c r="W62" i="20"/>
  <c r="X62" i="20" s="1"/>
  <c r="D299" i="11" s="1"/>
  <c r="Y62" i="20"/>
  <c r="Z62" i="20" s="1"/>
  <c r="AC62" i="20"/>
  <c r="AD62" i="20"/>
  <c r="AE62" i="20"/>
  <c r="AF62" i="20"/>
  <c r="BD62" i="20" s="1"/>
  <c r="AI62" i="20"/>
  <c r="BB62" i="20"/>
  <c r="E64" i="20"/>
  <c r="I64" i="20" s="1"/>
  <c r="F64" i="20"/>
  <c r="AK66" i="20" s="1"/>
  <c r="G64" i="20"/>
  <c r="AS64" i="20"/>
  <c r="AU64" i="20"/>
  <c r="AW64" i="20"/>
  <c r="AY64" i="20"/>
  <c r="BH64" i="20"/>
  <c r="BI64" i="20"/>
  <c r="BJ64" i="20"/>
  <c r="BK64" i="20"/>
  <c r="B65" i="20"/>
  <c r="BF66" i="20" s="1"/>
  <c r="D65" i="20"/>
  <c r="K65" i="20"/>
  <c r="V65" i="20"/>
  <c r="AS65" i="20"/>
  <c r="AU65" i="20"/>
  <c r="AW65" i="20"/>
  <c r="W66" i="20"/>
  <c r="X66" i="20" s="1"/>
  <c r="D300" i="11" s="1"/>
  <c r="Y66" i="20"/>
  <c r="Z66" i="20" s="1"/>
  <c r="AQ66" i="20" s="1"/>
  <c r="AC66" i="20"/>
  <c r="AD66" i="20"/>
  <c r="AE66" i="20"/>
  <c r="AF66" i="20"/>
  <c r="BD66" i="20" s="1"/>
  <c r="AG66" i="20"/>
  <c r="AI66" i="20"/>
  <c r="BB66" i="20"/>
  <c r="E68" i="20"/>
  <c r="AH70" i="20" s="1"/>
  <c r="AM70" i="20" s="1"/>
  <c r="F68" i="20"/>
  <c r="AK70" i="20" s="1"/>
  <c r="G68" i="20"/>
  <c r="AS68" i="20"/>
  <c r="AU68" i="20"/>
  <c r="AW68" i="20"/>
  <c r="AY68" i="20"/>
  <c r="BH68" i="20"/>
  <c r="BI68" i="20"/>
  <c r="BJ68" i="20"/>
  <c r="BK68" i="20"/>
  <c r="B69" i="20"/>
  <c r="D69" i="20"/>
  <c r="K69" i="20"/>
  <c r="V69" i="20"/>
  <c r="AS69" i="20"/>
  <c r="AU69" i="20"/>
  <c r="AW69" i="20"/>
  <c r="W70" i="20"/>
  <c r="X70" i="20" s="1"/>
  <c r="D301" i="11" s="1"/>
  <c r="Y70" i="20"/>
  <c r="Z70" i="20" s="1"/>
  <c r="AC70" i="20"/>
  <c r="AD70" i="20"/>
  <c r="AE70" i="20"/>
  <c r="AF70" i="20"/>
  <c r="BD70" i="20" s="1"/>
  <c r="AI70" i="20"/>
  <c r="BB70" i="20"/>
  <c r="E72" i="20"/>
  <c r="F72" i="20"/>
  <c r="G72" i="20"/>
  <c r="AS72" i="20"/>
  <c r="AU72" i="20"/>
  <c r="AW72" i="20"/>
  <c r="AY72" i="20"/>
  <c r="BH72" i="20"/>
  <c r="BI72" i="20"/>
  <c r="BJ72" i="20"/>
  <c r="BK72" i="20"/>
  <c r="B73" i="20"/>
  <c r="BF74" i="20" s="1"/>
  <c r="D73" i="20"/>
  <c r="K73" i="20"/>
  <c r="V73" i="20"/>
  <c r="AS73" i="20"/>
  <c r="AU73" i="20"/>
  <c r="AW73" i="20"/>
  <c r="W74" i="20"/>
  <c r="X74" i="20" s="1"/>
  <c r="D302" i="11" s="1"/>
  <c r="Y74" i="20"/>
  <c r="Z74" i="20" s="1"/>
  <c r="AC74" i="20"/>
  <c r="AD74" i="20"/>
  <c r="AE74" i="20"/>
  <c r="AF74" i="20"/>
  <c r="BD74" i="20" s="1"/>
  <c r="AG74" i="20"/>
  <c r="AI74" i="20"/>
  <c r="AK74" i="20"/>
  <c r="BB74" i="20"/>
  <c r="E76" i="20"/>
  <c r="F76" i="20"/>
  <c r="AK78" i="20" s="1"/>
  <c r="G76" i="20"/>
  <c r="AS76" i="20"/>
  <c r="AU76" i="20"/>
  <c r="AW76" i="20"/>
  <c r="AY76" i="20"/>
  <c r="BH76" i="20"/>
  <c r="BI76" i="20"/>
  <c r="BJ76" i="20"/>
  <c r="BK76" i="20"/>
  <c r="B77" i="20"/>
  <c r="D77" i="20"/>
  <c r="K77" i="20"/>
  <c r="V77" i="20"/>
  <c r="AS77" i="20"/>
  <c r="AU77" i="20"/>
  <c r="AW77" i="20"/>
  <c r="W78" i="20"/>
  <c r="X78" i="20" s="1"/>
  <c r="D303" i="11" s="1"/>
  <c r="Y78" i="20"/>
  <c r="Z78" i="20" s="1"/>
  <c r="AC78" i="20"/>
  <c r="AD78" i="20"/>
  <c r="AE78" i="20"/>
  <c r="AF78" i="20"/>
  <c r="BD78" i="20" s="1"/>
  <c r="AI78" i="20"/>
  <c r="BB78" i="20"/>
  <c r="E80" i="20"/>
  <c r="I80" i="20" s="1"/>
  <c r="F80" i="20"/>
  <c r="AK82" i="20" s="1"/>
  <c r="G80" i="20"/>
  <c r="AS80" i="20"/>
  <c r="AU80" i="20"/>
  <c r="AW80" i="20"/>
  <c r="AY80" i="20"/>
  <c r="BH80" i="20"/>
  <c r="BI80" i="20"/>
  <c r="BJ80" i="20"/>
  <c r="BK80" i="20"/>
  <c r="B81" i="20"/>
  <c r="BF82" i="20" s="1"/>
  <c r="D81" i="20"/>
  <c r="K81" i="20"/>
  <c r="V81" i="20"/>
  <c r="AS81" i="20"/>
  <c r="AU81" i="20"/>
  <c r="AW81" i="20"/>
  <c r="W82" i="20"/>
  <c r="X82" i="20" s="1"/>
  <c r="D304" i="11" s="1"/>
  <c r="Y82" i="20"/>
  <c r="Z82" i="20" s="1"/>
  <c r="AC82" i="20"/>
  <c r="AD82" i="20"/>
  <c r="AE82" i="20"/>
  <c r="AF82" i="20"/>
  <c r="BD82" i="20" s="1"/>
  <c r="AG82" i="20"/>
  <c r="AI82" i="20"/>
  <c r="BB82" i="20"/>
  <c r="E84" i="20"/>
  <c r="AH86" i="20" s="1"/>
  <c r="AM86" i="20" s="1"/>
  <c r="F84" i="20"/>
  <c r="AK86" i="20" s="1"/>
  <c r="G84" i="20"/>
  <c r="AS84" i="20"/>
  <c r="AU84" i="20"/>
  <c r="AW84" i="20"/>
  <c r="AY84" i="20"/>
  <c r="BH84" i="20"/>
  <c r="BI84" i="20"/>
  <c r="BJ84" i="20"/>
  <c r="BK84" i="20"/>
  <c r="B85" i="20"/>
  <c r="BF86" i="20" s="1"/>
  <c r="D85" i="20"/>
  <c r="K85" i="20"/>
  <c r="V85" i="20"/>
  <c r="AS85" i="20"/>
  <c r="AU85" i="20"/>
  <c r="AW85" i="20"/>
  <c r="W86" i="20"/>
  <c r="X86" i="20" s="1"/>
  <c r="D305" i="11" s="1"/>
  <c r="Y86" i="20"/>
  <c r="Z86" i="20" s="1"/>
  <c r="AC86" i="20"/>
  <c r="AD86" i="20"/>
  <c r="AE86" i="20"/>
  <c r="AF86" i="20"/>
  <c r="BD86" i="20" s="1"/>
  <c r="AG86" i="20"/>
  <c r="AI86" i="20"/>
  <c r="BB86" i="20"/>
  <c r="E88" i="20"/>
  <c r="F88" i="20"/>
  <c r="G88" i="20"/>
  <c r="AS88" i="20"/>
  <c r="AU88" i="20"/>
  <c r="AW88" i="20"/>
  <c r="AY88" i="20"/>
  <c r="BH88" i="20"/>
  <c r="BI88" i="20"/>
  <c r="BJ88" i="20"/>
  <c r="BK88" i="20"/>
  <c r="B89" i="20"/>
  <c r="D89" i="20"/>
  <c r="K89" i="20"/>
  <c r="V89" i="20"/>
  <c r="AS89" i="20"/>
  <c r="AU89" i="20"/>
  <c r="AW89" i="20"/>
  <c r="W90" i="20"/>
  <c r="X90" i="20" s="1"/>
  <c r="D306" i="11" s="1"/>
  <c r="Y90" i="20"/>
  <c r="Z90" i="20" s="1"/>
  <c r="AC90" i="20"/>
  <c r="AD90" i="20"/>
  <c r="AE90" i="20"/>
  <c r="AF90" i="20"/>
  <c r="BD90" i="20" s="1"/>
  <c r="AG90" i="20"/>
  <c r="AI90" i="20"/>
  <c r="AK90" i="20"/>
  <c r="BB90" i="20"/>
  <c r="Y1" i="14"/>
  <c r="AV143" i="14"/>
  <c r="D86" i="14"/>
  <c r="W88" i="14" s="1"/>
  <c r="X88" i="14" s="1"/>
  <c r="AO86" i="14"/>
  <c r="AP86" i="14"/>
  <c r="AQ86" i="14"/>
  <c r="AR86" i="14"/>
  <c r="AY86" i="14"/>
  <c r="AZ86" i="14"/>
  <c r="B87" i="14"/>
  <c r="F87" i="14" s="1"/>
  <c r="B243" i="11" s="1"/>
  <c r="T87" i="14"/>
  <c r="AO87" i="14"/>
  <c r="AP87" i="14"/>
  <c r="AQ87" i="14"/>
  <c r="U88" i="14"/>
  <c r="V88" i="14" s="1"/>
  <c r="D243" i="11" s="1"/>
  <c r="AA88" i="14"/>
  <c r="AB88" i="14"/>
  <c r="AC88" i="14"/>
  <c r="AD88" i="14"/>
  <c r="AE88" i="14"/>
  <c r="AF88" i="14"/>
  <c r="AG88" i="14"/>
  <c r="AH88" i="14" s="1"/>
  <c r="D90" i="14"/>
  <c r="U92" i="14" s="1"/>
  <c r="V92" i="14" s="1"/>
  <c r="D244" i="11" s="1"/>
  <c r="AO90" i="14"/>
  <c r="AP90" i="14"/>
  <c r="AQ90" i="14"/>
  <c r="AR90" i="14"/>
  <c r="AY90" i="14"/>
  <c r="AZ90" i="14"/>
  <c r="B91" i="14"/>
  <c r="F91" i="14" s="1"/>
  <c r="B244" i="11" s="1"/>
  <c r="T91" i="14"/>
  <c r="AO91" i="14"/>
  <c r="AP91" i="14"/>
  <c r="AQ91" i="14"/>
  <c r="AA92" i="14"/>
  <c r="AB92" i="14"/>
  <c r="AC92" i="14"/>
  <c r="AD92" i="14"/>
  <c r="AE92" i="14"/>
  <c r="AF92" i="14"/>
  <c r="AG92" i="14"/>
  <c r="AH92" i="14" s="1"/>
  <c r="D94" i="14"/>
  <c r="W96" i="14" s="1"/>
  <c r="X96" i="14" s="1"/>
  <c r="AO94" i="14"/>
  <c r="AP94" i="14"/>
  <c r="AQ94" i="14"/>
  <c r="AR94" i="14"/>
  <c r="AY94" i="14"/>
  <c r="AZ94" i="14"/>
  <c r="B95" i="14"/>
  <c r="F95" i="14" s="1"/>
  <c r="B245" i="11" s="1"/>
  <c r="T95" i="14"/>
  <c r="AO95" i="14"/>
  <c r="AP95" i="14"/>
  <c r="AQ95" i="14"/>
  <c r="U96" i="14"/>
  <c r="V96" i="14" s="1"/>
  <c r="D245" i="11" s="1"/>
  <c r="AA96" i="14"/>
  <c r="AB96" i="14"/>
  <c r="AC96" i="14"/>
  <c r="AD96" i="14"/>
  <c r="AE96" i="14"/>
  <c r="AF96" i="14"/>
  <c r="AG96" i="14"/>
  <c r="AH96" i="14" s="1"/>
  <c r="D98" i="14"/>
  <c r="U100" i="14" s="1"/>
  <c r="V100" i="14" s="1"/>
  <c r="D246" i="11" s="1"/>
  <c r="AO98" i="14"/>
  <c r="AP98" i="14"/>
  <c r="AQ98" i="14"/>
  <c r="AR98" i="14"/>
  <c r="AY98" i="14"/>
  <c r="AZ98" i="14"/>
  <c r="B99" i="14"/>
  <c r="F99" i="14" s="1"/>
  <c r="B246" i="11" s="1"/>
  <c r="T99" i="14"/>
  <c r="AO99" i="14"/>
  <c r="AP99" i="14"/>
  <c r="AQ99" i="14"/>
  <c r="W100" i="14"/>
  <c r="X100" i="14" s="1"/>
  <c r="AA100" i="14"/>
  <c r="AB100" i="14"/>
  <c r="AC100" i="14"/>
  <c r="AD100" i="14"/>
  <c r="AE100" i="14"/>
  <c r="AF100" i="14"/>
  <c r="AG100" i="14"/>
  <c r="AH100" i="14" s="1"/>
  <c r="D102" i="14"/>
  <c r="U104" i="14" s="1"/>
  <c r="V104" i="14" s="1"/>
  <c r="D247" i="11" s="1"/>
  <c r="AO102" i="14"/>
  <c r="AP102" i="14"/>
  <c r="AQ102" i="14"/>
  <c r="AR102" i="14"/>
  <c r="AY102" i="14"/>
  <c r="AZ102" i="14"/>
  <c r="B103" i="14"/>
  <c r="T103" i="14"/>
  <c r="AO103" i="14"/>
  <c r="AP103" i="14"/>
  <c r="AQ103" i="14"/>
  <c r="W104" i="14"/>
  <c r="X104" i="14" s="1"/>
  <c r="AA104" i="14"/>
  <c r="AB104" i="14"/>
  <c r="AC104" i="14"/>
  <c r="AD104" i="14"/>
  <c r="AE104" i="14"/>
  <c r="AF104" i="14"/>
  <c r="AG104" i="14"/>
  <c r="AH104" i="14" s="1"/>
  <c r="D106" i="14"/>
  <c r="U108" i="14" s="1"/>
  <c r="V108" i="14" s="1"/>
  <c r="D248" i="11" s="1"/>
  <c r="AO106" i="14"/>
  <c r="AP106" i="14"/>
  <c r="AQ106" i="14"/>
  <c r="AR106" i="14"/>
  <c r="AY106" i="14"/>
  <c r="AZ106" i="14"/>
  <c r="B107" i="14"/>
  <c r="F107" i="14" s="1"/>
  <c r="B248" i="11" s="1"/>
  <c r="T107" i="14"/>
  <c r="AO107" i="14"/>
  <c r="AP107" i="14"/>
  <c r="AQ107" i="14"/>
  <c r="AA108" i="14"/>
  <c r="AB108" i="14"/>
  <c r="AC108" i="14"/>
  <c r="AD108" i="14"/>
  <c r="AE108" i="14"/>
  <c r="AF108" i="14"/>
  <c r="AG108" i="14"/>
  <c r="AH108" i="14" s="1"/>
  <c r="D110" i="14"/>
  <c r="AO110" i="14"/>
  <c r="AP110" i="14"/>
  <c r="AQ110" i="14"/>
  <c r="AR110" i="14"/>
  <c r="AY110" i="14"/>
  <c r="AZ110" i="14"/>
  <c r="B111" i="14"/>
  <c r="T111" i="14"/>
  <c r="AO111" i="14"/>
  <c r="AP111" i="14"/>
  <c r="AQ111" i="14"/>
  <c r="U112" i="14"/>
  <c r="V112" i="14" s="1"/>
  <c r="D249" i="11" s="1"/>
  <c r="W112" i="14"/>
  <c r="X112" i="14" s="1"/>
  <c r="AA112" i="14"/>
  <c r="AB112" i="14"/>
  <c r="AC112" i="14"/>
  <c r="AD112" i="14"/>
  <c r="AE112" i="14"/>
  <c r="AF112" i="14"/>
  <c r="AG112" i="14"/>
  <c r="AH112" i="14" s="1"/>
  <c r="D114" i="14"/>
  <c r="AO114" i="14"/>
  <c r="AP114" i="14"/>
  <c r="AQ114" i="14"/>
  <c r="AR114" i="14"/>
  <c r="AY114" i="14"/>
  <c r="AZ114" i="14"/>
  <c r="B115" i="14"/>
  <c r="F115" i="14" s="1"/>
  <c r="B250" i="11" s="1"/>
  <c r="T115" i="14"/>
  <c r="AO115" i="14"/>
  <c r="AP115" i="14"/>
  <c r="AQ115" i="14"/>
  <c r="U116" i="14"/>
  <c r="V116" i="14" s="1"/>
  <c r="D250" i="11" s="1"/>
  <c r="W116" i="14"/>
  <c r="X116" i="14" s="1"/>
  <c r="AA116" i="14"/>
  <c r="AB116" i="14"/>
  <c r="AC116" i="14"/>
  <c r="AD116" i="14"/>
  <c r="AE116" i="14"/>
  <c r="AF116" i="14"/>
  <c r="AG116" i="14"/>
  <c r="AH116" i="14" s="1"/>
  <c r="D118" i="14"/>
  <c r="U120" i="14" s="1"/>
  <c r="V120" i="14" s="1"/>
  <c r="D251" i="11" s="1"/>
  <c r="AO118" i="14"/>
  <c r="AP118" i="14"/>
  <c r="AQ118" i="14"/>
  <c r="AR118" i="14"/>
  <c r="AY118" i="14"/>
  <c r="AZ118" i="14"/>
  <c r="B119" i="14"/>
  <c r="T119" i="14"/>
  <c r="AO119" i="14"/>
  <c r="AP119" i="14"/>
  <c r="AQ119" i="14"/>
  <c r="AA120" i="14"/>
  <c r="AB120" i="14"/>
  <c r="AC120" i="14"/>
  <c r="AD120" i="14"/>
  <c r="AE120" i="14"/>
  <c r="AF120" i="14"/>
  <c r="AG120" i="14"/>
  <c r="AH120" i="14" s="1"/>
  <c r="D122" i="14"/>
  <c r="U124" i="14" s="1"/>
  <c r="V124" i="14" s="1"/>
  <c r="D252" i="11" s="1"/>
  <c r="AO122" i="14"/>
  <c r="AP122" i="14"/>
  <c r="AQ122" i="14"/>
  <c r="AR122" i="14"/>
  <c r="AY122" i="14"/>
  <c r="AZ122" i="14"/>
  <c r="B123" i="14"/>
  <c r="T123" i="14"/>
  <c r="AO123" i="14"/>
  <c r="AP123" i="14"/>
  <c r="AQ123" i="14"/>
  <c r="AA124" i="14"/>
  <c r="AB124" i="14"/>
  <c r="AC124" i="14"/>
  <c r="AD124" i="14"/>
  <c r="AE124" i="14"/>
  <c r="AF124" i="14"/>
  <c r="AG124" i="14"/>
  <c r="AH124" i="14" s="1"/>
  <c r="D126" i="14"/>
  <c r="AO126" i="14"/>
  <c r="AP126" i="14"/>
  <c r="AQ126" i="14"/>
  <c r="AR126" i="14"/>
  <c r="AY126" i="14"/>
  <c r="AZ126" i="14"/>
  <c r="B127" i="14"/>
  <c r="F127" i="14" s="1"/>
  <c r="B253" i="11" s="1"/>
  <c r="T127" i="14"/>
  <c r="AO127" i="14"/>
  <c r="AP127" i="14"/>
  <c r="AQ127" i="14"/>
  <c r="U128" i="14"/>
  <c r="V128" i="14"/>
  <c r="D253" i="11" s="1"/>
  <c r="W128" i="14"/>
  <c r="X128" i="14" s="1"/>
  <c r="AA128" i="14"/>
  <c r="AB128" i="14"/>
  <c r="AC128" i="14"/>
  <c r="AD128" i="14"/>
  <c r="AE128" i="14"/>
  <c r="AF128" i="14"/>
  <c r="AG128" i="14"/>
  <c r="AH128" i="14" s="1"/>
  <c r="D130" i="14"/>
  <c r="W132" i="14" s="1"/>
  <c r="X132" i="14" s="1"/>
  <c r="AO130" i="14"/>
  <c r="AP130" i="14"/>
  <c r="AQ130" i="14"/>
  <c r="AR130" i="14"/>
  <c r="AY130" i="14"/>
  <c r="AZ130" i="14"/>
  <c r="B131" i="14"/>
  <c r="T131" i="14"/>
  <c r="AO131" i="14"/>
  <c r="AP131" i="14"/>
  <c r="AQ131" i="14"/>
  <c r="U132" i="14"/>
  <c r="V132" i="14" s="1"/>
  <c r="D254" i="11" s="1"/>
  <c r="AA132" i="14"/>
  <c r="AB132" i="14"/>
  <c r="AC132" i="14"/>
  <c r="AD132" i="14"/>
  <c r="AE132" i="14"/>
  <c r="AF132" i="14"/>
  <c r="AG132" i="14"/>
  <c r="AH132" i="14" s="1"/>
  <c r="D134" i="14"/>
  <c r="U136" i="14" s="1"/>
  <c r="V136" i="14" s="1"/>
  <c r="D255" i="11" s="1"/>
  <c r="AO134" i="14"/>
  <c r="AP134" i="14"/>
  <c r="AQ134" i="14"/>
  <c r="AR134" i="14"/>
  <c r="AY134" i="14"/>
  <c r="AZ134" i="14"/>
  <c r="B135" i="14"/>
  <c r="F135" i="14" s="1"/>
  <c r="B255" i="11" s="1"/>
  <c r="T135" i="14"/>
  <c r="AO135" i="14"/>
  <c r="AP135" i="14"/>
  <c r="AQ135" i="14"/>
  <c r="W136" i="14"/>
  <c r="X136" i="14" s="1"/>
  <c r="AA136" i="14"/>
  <c r="AB136" i="14"/>
  <c r="AC136" i="14"/>
  <c r="AD136" i="14"/>
  <c r="AE136" i="14"/>
  <c r="AF136" i="14"/>
  <c r="AG136" i="14"/>
  <c r="AH136" i="14" s="1"/>
  <c r="D138" i="14"/>
  <c r="U140" i="14" s="1"/>
  <c r="V140" i="14" s="1"/>
  <c r="D256" i="11" s="1"/>
  <c r="AO138" i="14"/>
  <c r="AP138" i="14"/>
  <c r="AQ138" i="14"/>
  <c r="AR138" i="14"/>
  <c r="AY138" i="14"/>
  <c r="AZ138" i="14"/>
  <c r="B139" i="14"/>
  <c r="T139" i="14"/>
  <c r="AO139" i="14"/>
  <c r="AP139" i="14"/>
  <c r="AQ139" i="14"/>
  <c r="AA140" i="14"/>
  <c r="AB140" i="14"/>
  <c r="AC140" i="14"/>
  <c r="AD140" i="14"/>
  <c r="AE140" i="14"/>
  <c r="AF140" i="14"/>
  <c r="AG140" i="14"/>
  <c r="AH140" i="14" s="1"/>
  <c r="D54" i="14"/>
  <c r="U56" i="14" s="1"/>
  <c r="V56" i="14" s="1"/>
  <c r="D235" i="11" s="1"/>
  <c r="AO54" i="14"/>
  <c r="AP54" i="14"/>
  <c r="AQ54" i="14"/>
  <c r="AR54" i="14"/>
  <c r="AY54" i="14"/>
  <c r="AZ54" i="14"/>
  <c r="B55" i="14"/>
  <c r="F55" i="14" s="1"/>
  <c r="B235" i="11" s="1"/>
  <c r="T55" i="14"/>
  <c r="AO55" i="14"/>
  <c r="AP55" i="14"/>
  <c r="AQ55" i="14"/>
  <c r="AA56" i="14"/>
  <c r="AB56" i="14"/>
  <c r="AC56" i="14"/>
  <c r="AD56" i="14"/>
  <c r="AE56" i="14"/>
  <c r="AF56" i="14"/>
  <c r="AG56" i="14"/>
  <c r="AH56" i="14" s="1"/>
  <c r="AV56" i="14"/>
  <c r="D58" i="14"/>
  <c r="U60" i="14" s="1"/>
  <c r="V60" i="14" s="1"/>
  <c r="D236" i="11" s="1"/>
  <c r="AO58" i="14"/>
  <c r="AP58" i="14"/>
  <c r="AQ58" i="14"/>
  <c r="AR58" i="14"/>
  <c r="AY58" i="14"/>
  <c r="AZ58" i="14"/>
  <c r="B59" i="14"/>
  <c r="F59" i="14" s="1"/>
  <c r="B236" i="11" s="1"/>
  <c r="T59" i="14"/>
  <c r="AO59" i="14"/>
  <c r="AP59" i="14"/>
  <c r="AQ59" i="14"/>
  <c r="W60" i="14"/>
  <c r="X60" i="14" s="1"/>
  <c r="AA60" i="14"/>
  <c r="AB60" i="14"/>
  <c r="AC60" i="14"/>
  <c r="AD60" i="14"/>
  <c r="AE60" i="14"/>
  <c r="AF60" i="14"/>
  <c r="AG60" i="14"/>
  <c r="AH60" i="14" s="1"/>
  <c r="AV60" i="14"/>
  <c r="D62" i="14"/>
  <c r="U64" i="14" s="1"/>
  <c r="V64" i="14" s="1"/>
  <c r="D237" i="11" s="1"/>
  <c r="AO62" i="14"/>
  <c r="AP62" i="14"/>
  <c r="AQ62" i="14"/>
  <c r="AR62" i="14"/>
  <c r="AY62" i="14"/>
  <c r="AZ62" i="14"/>
  <c r="B63" i="14"/>
  <c r="T63" i="14"/>
  <c r="AO63" i="14"/>
  <c r="AP63" i="14"/>
  <c r="AQ63" i="14"/>
  <c r="AA64" i="14"/>
  <c r="AB64" i="14"/>
  <c r="AC64" i="14"/>
  <c r="AD64" i="14"/>
  <c r="AE64" i="14"/>
  <c r="AF64" i="14"/>
  <c r="AG64" i="14"/>
  <c r="AH64" i="14" s="1"/>
  <c r="AV64" i="14"/>
  <c r="D66" i="14"/>
  <c r="U68" i="14" s="1"/>
  <c r="V68" i="14" s="1"/>
  <c r="D238" i="11" s="1"/>
  <c r="AO66" i="14"/>
  <c r="AP66" i="14"/>
  <c r="AQ66" i="14"/>
  <c r="AR66" i="14"/>
  <c r="AY66" i="14"/>
  <c r="AZ66" i="14"/>
  <c r="B67" i="14"/>
  <c r="F67" i="14" s="1"/>
  <c r="B238" i="11" s="1"/>
  <c r="T67" i="14"/>
  <c r="AO67" i="14"/>
  <c r="AP67" i="14"/>
  <c r="AQ67" i="14"/>
  <c r="AA68" i="14"/>
  <c r="AB68" i="14"/>
  <c r="AC68" i="14"/>
  <c r="AD68" i="14"/>
  <c r="AE68" i="14"/>
  <c r="AF68" i="14"/>
  <c r="AG68" i="14"/>
  <c r="AH68" i="14" s="1"/>
  <c r="AV68" i="14"/>
  <c r="D70" i="14"/>
  <c r="U72" i="14" s="1"/>
  <c r="V72" i="14" s="1"/>
  <c r="D239" i="11" s="1"/>
  <c r="AO70" i="14"/>
  <c r="AP70" i="14"/>
  <c r="AQ70" i="14"/>
  <c r="AR70" i="14"/>
  <c r="AY70" i="14"/>
  <c r="AZ70" i="14"/>
  <c r="B71" i="14"/>
  <c r="T71" i="14"/>
  <c r="AO71" i="14"/>
  <c r="AP71" i="14"/>
  <c r="AQ71" i="14"/>
  <c r="W72" i="14"/>
  <c r="X72" i="14" s="1"/>
  <c r="AA72" i="14"/>
  <c r="AB72" i="14"/>
  <c r="AC72" i="14"/>
  <c r="AD72" i="14"/>
  <c r="AE72" i="14"/>
  <c r="AF72" i="14"/>
  <c r="AG72" i="14"/>
  <c r="AH72" i="14" s="1"/>
  <c r="D74" i="14"/>
  <c r="U76" i="14" s="1"/>
  <c r="V76" i="14" s="1"/>
  <c r="D240" i="11" s="1"/>
  <c r="AO74" i="14"/>
  <c r="AP74" i="14"/>
  <c r="AQ74" i="14"/>
  <c r="AR74" i="14"/>
  <c r="AY74" i="14"/>
  <c r="AZ74" i="14"/>
  <c r="B75" i="14"/>
  <c r="F75" i="14" s="1"/>
  <c r="B240" i="11" s="1"/>
  <c r="T75" i="14"/>
  <c r="AO75" i="14"/>
  <c r="AP75" i="14"/>
  <c r="AQ75" i="14"/>
  <c r="W76" i="14"/>
  <c r="X76" i="14" s="1"/>
  <c r="AA76" i="14"/>
  <c r="AB76" i="14"/>
  <c r="AC76" i="14"/>
  <c r="AD76" i="14"/>
  <c r="AE76" i="14"/>
  <c r="AF76" i="14"/>
  <c r="AG76" i="14"/>
  <c r="AH76" i="14" s="1"/>
  <c r="AV76" i="14"/>
  <c r="D78" i="14"/>
  <c r="U80" i="14" s="1"/>
  <c r="V80" i="14" s="1"/>
  <c r="D241" i="11" s="1"/>
  <c r="AO78" i="14"/>
  <c r="AP78" i="14"/>
  <c r="AQ78" i="14"/>
  <c r="AR78" i="14"/>
  <c r="AY78" i="14"/>
  <c r="AZ78" i="14"/>
  <c r="B79" i="14"/>
  <c r="F79" i="14" s="1"/>
  <c r="B241" i="11" s="1"/>
  <c r="T79" i="14"/>
  <c r="AO79" i="14"/>
  <c r="AP79" i="14"/>
  <c r="AQ79" i="14"/>
  <c r="AA80" i="14"/>
  <c r="AB80" i="14"/>
  <c r="AC80" i="14"/>
  <c r="AD80" i="14"/>
  <c r="AE80" i="14"/>
  <c r="AF80" i="14"/>
  <c r="AG80" i="14"/>
  <c r="AH80" i="14" s="1"/>
  <c r="AV80" i="14"/>
  <c r="D82" i="14"/>
  <c r="U84" i="14" s="1"/>
  <c r="V84" i="14" s="1"/>
  <c r="D242" i="11" s="1"/>
  <c r="AO82" i="14"/>
  <c r="AP82" i="14"/>
  <c r="AQ82" i="14"/>
  <c r="AR82" i="14"/>
  <c r="AY82" i="14"/>
  <c r="AZ82" i="14"/>
  <c r="B83" i="14"/>
  <c r="F83" i="14" s="1"/>
  <c r="B242" i="11" s="1"/>
  <c r="T83" i="14"/>
  <c r="AO83" i="14"/>
  <c r="AP83" i="14"/>
  <c r="AQ83" i="14"/>
  <c r="AA84" i="14"/>
  <c r="AB84" i="14"/>
  <c r="AC84" i="14"/>
  <c r="AD84" i="14"/>
  <c r="AE84" i="14"/>
  <c r="AF84" i="14"/>
  <c r="AG84" i="14"/>
  <c r="AH84" i="14" s="1"/>
  <c r="Y1" i="13"/>
  <c r="AV141" i="13"/>
  <c r="AT141" i="13"/>
  <c r="D130" i="13"/>
  <c r="F130" i="13"/>
  <c r="AO130" i="13"/>
  <c r="AP130" i="13"/>
  <c r="AQ130" i="13"/>
  <c r="AR130" i="13"/>
  <c r="AY130" i="13"/>
  <c r="AZ130" i="13"/>
  <c r="B131" i="13"/>
  <c r="T131" i="13"/>
  <c r="AO131" i="13"/>
  <c r="AP131" i="13"/>
  <c r="AQ131" i="13"/>
  <c r="AA132" i="13"/>
  <c r="AB132" i="13"/>
  <c r="AC132" i="13"/>
  <c r="AD132" i="13"/>
  <c r="AE132" i="13"/>
  <c r="E130" i="13" s="1"/>
  <c r="AG132" i="13"/>
  <c r="AH132" i="13" s="1"/>
  <c r="D134" i="13"/>
  <c r="E134" i="13" s="1"/>
  <c r="F134" i="13"/>
  <c r="AO134" i="13"/>
  <c r="AP134" i="13"/>
  <c r="AQ134" i="13"/>
  <c r="AR134" i="13"/>
  <c r="AY134" i="13"/>
  <c r="AZ134" i="13"/>
  <c r="B135" i="13"/>
  <c r="T135" i="13"/>
  <c r="AO135" i="13"/>
  <c r="AP135" i="13"/>
  <c r="AQ135" i="13"/>
  <c r="AA136" i="13"/>
  <c r="AB136" i="13"/>
  <c r="AC136" i="13"/>
  <c r="AD136" i="13"/>
  <c r="AE136" i="13"/>
  <c r="AG136" i="13"/>
  <c r="AH136" i="13" s="1"/>
  <c r="D138" i="13"/>
  <c r="F138" i="13"/>
  <c r="AD140" i="13" s="1"/>
  <c r="AO138" i="13"/>
  <c r="AP138" i="13"/>
  <c r="AQ138" i="13"/>
  <c r="AR138" i="13"/>
  <c r="AY138" i="13"/>
  <c r="AZ138" i="13"/>
  <c r="B139" i="13"/>
  <c r="T139" i="13"/>
  <c r="AO139" i="13"/>
  <c r="AP139" i="13"/>
  <c r="AQ139" i="13"/>
  <c r="AA140" i="13"/>
  <c r="AB140" i="13"/>
  <c r="AC140" i="13"/>
  <c r="AG140" i="13"/>
  <c r="AH140" i="13" s="1"/>
  <c r="D122" i="13"/>
  <c r="E122" i="13" s="1"/>
  <c r="F122" i="13"/>
  <c r="AD124" i="13" s="1"/>
  <c r="AO122" i="13"/>
  <c r="AP122" i="13"/>
  <c r="AQ122" i="13"/>
  <c r="AR122" i="13"/>
  <c r="AY122" i="13"/>
  <c r="AZ122" i="13"/>
  <c r="B123" i="13"/>
  <c r="T123" i="13"/>
  <c r="AO123" i="13"/>
  <c r="AP123" i="13"/>
  <c r="AQ123" i="13"/>
  <c r="AA124" i="13"/>
  <c r="AB124" i="13"/>
  <c r="AC124" i="13"/>
  <c r="AE124" i="13"/>
  <c r="AG124" i="13"/>
  <c r="AH124" i="13" s="1"/>
  <c r="D126" i="13"/>
  <c r="F126" i="13"/>
  <c r="AD128" i="13" s="1"/>
  <c r="AO126" i="13"/>
  <c r="AP126" i="13"/>
  <c r="AQ126" i="13"/>
  <c r="AR126" i="13"/>
  <c r="AY126" i="13"/>
  <c r="AZ126" i="13"/>
  <c r="B127" i="13"/>
  <c r="AX128" i="13" s="1"/>
  <c r="T127" i="13"/>
  <c r="AO127" i="13"/>
  <c r="AP127" i="13"/>
  <c r="AQ127" i="13"/>
  <c r="AA128" i="13"/>
  <c r="AB128" i="13"/>
  <c r="AC128" i="13"/>
  <c r="AE128" i="13"/>
  <c r="AG128" i="13"/>
  <c r="AH128" i="13" s="1"/>
  <c r="D86" i="13"/>
  <c r="E86" i="13" s="1"/>
  <c r="F86" i="13"/>
  <c r="AO86" i="13"/>
  <c r="AP86" i="13"/>
  <c r="AQ86" i="13"/>
  <c r="AR86" i="13"/>
  <c r="AY86" i="13"/>
  <c r="AZ86" i="13"/>
  <c r="B87" i="13"/>
  <c r="T87" i="13"/>
  <c r="AO87" i="13"/>
  <c r="AP87" i="13"/>
  <c r="AQ87" i="13"/>
  <c r="AA88" i="13"/>
  <c r="AB88" i="13"/>
  <c r="AC88" i="13"/>
  <c r="AD88" i="13"/>
  <c r="AE88" i="13"/>
  <c r="AG88" i="13"/>
  <c r="AH88" i="13" s="1"/>
  <c r="D90" i="13"/>
  <c r="F90" i="13"/>
  <c r="AE92" i="13" s="1"/>
  <c r="AO90" i="13"/>
  <c r="AP90" i="13"/>
  <c r="AQ90" i="13"/>
  <c r="AR90" i="13"/>
  <c r="AY90" i="13"/>
  <c r="AZ90" i="13"/>
  <c r="B91" i="13"/>
  <c r="T91" i="13"/>
  <c r="AO91" i="13"/>
  <c r="AP91" i="13"/>
  <c r="AQ91" i="13"/>
  <c r="AA92" i="13"/>
  <c r="AB92" i="13"/>
  <c r="AC92" i="13"/>
  <c r="AG92" i="13"/>
  <c r="AH92" i="13" s="1"/>
  <c r="AV92" i="13"/>
  <c r="D94" i="13"/>
  <c r="F94" i="13"/>
  <c r="AD96" i="13" s="1"/>
  <c r="AO94" i="13"/>
  <c r="AP94" i="13"/>
  <c r="AQ94" i="13"/>
  <c r="AR94" i="13"/>
  <c r="AY94" i="13"/>
  <c r="AZ94" i="13"/>
  <c r="B95" i="13"/>
  <c r="T95" i="13"/>
  <c r="AO95" i="13"/>
  <c r="AP95" i="13"/>
  <c r="AQ95" i="13"/>
  <c r="AA96" i="13"/>
  <c r="AB96" i="13"/>
  <c r="AC96" i="13"/>
  <c r="AE96" i="13"/>
  <c r="AG96" i="13"/>
  <c r="AH96" i="13" s="1"/>
  <c r="D98" i="13"/>
  <c r="F98" i="13"/>
  <c r="AD100" i="13" s="1"/>
  <c r="AO98" i="13"/>
  <c r="AP98" i="13"/>
  <c r="AQ98" i="13"/>
  <c r="AR98" i="13"/>
  <c r="AY98" i="13"/>
  <c r="AZ98" i="13"/>
  <c r="B99" i="13"/>
  <c r="T99" i="13"/>
  <c r="AO99" i="13"/>
  <c r="AP99" i="13"/>
  <c r="AQ99" i="13"/>
  <c r="AA100" i="13"/>
  <c r="AB100" i="13"/>
  <c r="AC100" i="13"/>
  <c r="AE100" i="13"/>
  <c r="E98" i="13" s="1"/>
  <c r="AG100" i="13"/>
  <c r="AH100" i="13" s="1"/>
  <c r="D102" i="13"/>
  <c r="F102" i="13"/>
  <c r="AO102" i="13"/>
  <c r="AP102" i="13"/>
  <c r="AQ102" i="13"/>
  <c r="AR102" i="13"/>
  <c r="AY102" i="13"/>
  <c r="AZ102" i="13"/>
  <c r="B103" i="13"/>
  <c r="AX104" i="13" s="1"/>
  <c r="T103" i="13"/>
  <c r="AO103" i="13"/>
  <c r="AP103" i="13"/>
  <c r="AQ103" i="13"/>
  <c r="AA104" i="13"/>
  <c r="AB104" i="13"/>
  <c r="AC104" i="13"/>
  <c r="AD104" i="13"/>
  <c r="AE104" i="13"/>
  <c r="AG104" i="13"/>
  <c r="AH104" i="13" s="1"/>
  <c r="AV104" i="13"/>
  <c r="D106" i="13"/>
  <c r="F106" i="13"/>
  <c r="AO106" i="13"/>
  <c r="AP106" i="13"/>
  <c r="AQ106" i="13"/>
  <c r="AR106" i="13"/>
  <c r="AY106" i="13"/>
  <c r="AZ106" i="13"/>
  <c r="B107" i="13"/>
  <c r="T107" i="13"/>
  <c r="AO107" i="13"/>
  <c r="AP107" i="13"/>
  <c r="AQ107" i="13"/>
  <c r="AA108" i="13"/>
  <c r="AB108" i="13"/>
  <c r="AC108" i="13"/>
  <c r="AD108" i="13"/>
  <c r="AE108" i="13"/>
  <c r="AG108" i="13"/>
  <c r="AH108" i="13" s="1"/>
  <c r="AV108" i="13"/>
  <c r="D110" i="13"/>
  <c r="F110" i="13"/>
  <c r="AD112" i="13" s="1"/>
  <c r="AO110" i="13"/>
  <c r="AP110" i="13"/>
  <c r="AQ110" i="13"/>
  <c r="AR110" i="13"/>
  <c r="AY110" i="13"/>
  <c r="AZ110" i="13"/>
  <c r="B111" i="13"/>
  <c r="AX112" i="13" s="1"/>
  <c r="T111" i="13"/>
  <c r="AO111" i="13"/>
  <c r="AP111" i="13"/>
  <c r="AQ111" i="13"/>
  <c r="AA112" i="13"/>
  <c r="AB112" i="13"/>
  <c r="AC112" i="13"/>
  <c r="AE112" i="13"/>
  <c r="AG112" i="13"/>
  <c r="AH112" i="13" s="1"/>
  <c r="D114" i="13"/>
  <c r="F114" i="13"/>
  <c r="AO114" i="13"/>
  <c r="AP114" i="13"/>
  <c r="AQ114" i="13"/>
  <c r="AR114" i="13"/>
  <c r="AY114" i="13"/>
  <c r="AZ114" i="13"/>
  <c r="B115" i="13"/>
  <c r="T115" i="13"/>
  <c r="AO115" i="13"/>
  <c r="AP115" i="13"/>
  <c r="AQ115" i="13"/>
  <c r="AA116" i="13"/>
  <c r="AB116" i="13"/>
  <c r="AC116" i="13"/>
  <c r="AD116" i="13"/>
  <c r="AE116" i="13"/>
  <c r="AG116" i="13"/>
  <c r="AH116" i="13" s="1"/>
  <c r="D118" i="13"/>
  <c r="F118" i="13"/>
  <c r="AO118" i="13"/>
  <c r="AP118" i="13"/>
  <c r="AQ118" i="13"/>
  <c r="AR118" i="13"/>
  <c r="AY118" i="13"/>
  <c r="AZ118" i="13"/>
  <c r="B119" i="13"/>
  <c r="T119" i="13"/>
  <c r="AO119" i="13"/>
  <c r="AP119" i="13"/>
  <c r="AQ119" i="13"/>
  <c r="AA120" i="13"/>
  <c r="AB120" i="13"/>
  <c r="AC120" i="13"/>
  <c r="AD120" i="13"/>
  <c r="AE120" i="13"/>
  <c r="AG120" i="13"/>
  <c r="AH120" i="13" s="1"/>
  <c r="AV120" i="13"/>
  <c r="D54" i="13"/>
  <c r="F54" i="13"/>
  <c r="AD56" i="13" s="1"/>
  <c r="AO54" i="13"/>
  <c r="AP54" i="13"/>
  <c r="AQ54" i="13"/>
  <c r="AR54" i="13"/>
  <c r="AY54" i="13"/>
  <c r="AZ54" i="13"/>
  <c r="B55" i="13"/>
  <c r="T55" i="13"/>
  <c r="AO55" i="13"/>
  <c r="AP55" i="13"/>
  <c r="AQ55" i="13"/>
  <c r="AA56" i="13"/>
  <c r="AB56" i="13"/>
  <c r="AC56" i="13"/>
  <c r="AE56" i="13"/>
  <c r="AG56" i="13"/>
  <c r="AH56" i="13" s="1"/>
  <c r="AV56" i="13"/>
  <c r="D58" i="13"/>
  <c r="F58" i="13"/>
  <c r="AO58" i="13"/>
  <c r="AP58" i="13"/>
  <c r="AQ58" i="13"/>
  <c r="AR58" i="13"/>
  <c r="AY58" i="13"/>
  <c r="AZ58" i="13"/>
  <c r="B59" i="13"/>
  <c r="T59" i="13"/>
  <c r="AO59" i="13"/>
  <c r="AP59" i="13"/>
  <c r="AQ59" i="13"/>
  <c r="AA60" i="13"/>
  <c r="AB60" i="13"/>
  <c r="AC60" i="13"/>
  <c r="AD60" i="13"/>
  <c r="AE60" i="13"/>
  <c r="AG60" i="13"/>
  <c r="AH60" i="13" s="1"/>
  <c r="D62" i="13"/>
  <c r="F62" i="13"/>
  <c r="AD64" i="13" s="1"/>
  <c r="AO62" i="13"/>
  <c r="AP62" i="13"/>
  <c r="AQ62" i="13"/>
  <c r="AR62" i="13"/>
  <c r="AY62" i="13"/>
  <c r="AZ62" i="13"/>
  <c r="B63" i="13"/>
  <c r="AX64" i="13" s="1"/>
  <c r="T63" i="13"/>
  <c r="AO63" i="13"/>
  <c r="AP63" i="13"/>
  <c r="AQ63" i="13"/>
  <c r="AA64" i="13"/>
  <c r="AB64" i="13"/>
  <c r="AC64" i="13"/>
  <c r="AG64" i="13"/>
  <c r="AH64" i="13" s="1"/>
  <c r="D66" i="13"/>
  <c r="F66" i="13"/>
  <c r="AD68" i="13" s="1"/>
  <c r="AO66" i="13"/>
  <c r="AP66" i="13"/>
  <c r="AQ66" i="13"/>
  <c r="AR66" i="13"/>
  <c r="AY66" i="13"/>
  <c r="AZ66" i="13"/>
  <c r="B67" i="13"/>
  <c r="T67" i="13"/>
  <c r="AO67" i="13"/>
  <c r="AP67" i="13"/>
  <c r="AQ67" i="13"/>
  <c r="AA68" i="13"/>
  <c r="AB68" i="13"/>
  <c r="AC68" i="13"/>
  <c r="AE68" i="13"/>
  <c r="E66" i="13" s="1"/>
  <c r="AG68" i="13"/>
  <c r="AH68" i="13" s="1"/>
  <c r="D70" i="13"/>
  <c r="F70" i="13"/>
  <c r="AD72" i="13" s="1"/>
  <c r="AO70" i="13"/>
  <c r="AP70" i="13"/>
  <c r="AQ70" i="13"/>
  <c r="AR70" i="13"/>
  <c r="AY70" i="13"/>
  <c r="AZ70" i="13"/>
  <c r="B71" i="13"/>
  <c r="AX72" i="13" s="1"/>
  <c r="T71" i="13"/>
  <c r="AO71" i="13"/>
  <c r="AP71" i="13"/>
  <c r="AQ71" i="13"/>
  <c r="AA72" i="13"/>
  <c r="AB72" i="13"/>
  <c r="AC72" i="13"/>
  <c r="AG72" i="13"/>
  <c r="AH72" i="13" s="1"/>
  <c r="D74" i="13"/>
  <c r="F74" i="13"/>
  <c r="AO74" i="13"/>
  <c r="AP74" i="13"/>
  <c r="AQ74" i="13"/>
  <c r="AR74" i="13"/>
  <c r="AY74" i="13"/>
  <c r="AZ74" i="13"/>
  <c r="B75" i="13"/>
  <c r="AX76" i="13" s="1"/>
  <c r="T75" i="13"/>
  <c r="AO75" i="13"/>
  <c r="AP75" i="13"/>
  <c r="AQ75" i="13"/>
  <c r="AA76" i="13"/>
  <c r="AB76" i="13"/>
  <c r="AC76" i="13"/>
  <c r="AD76" i="13"/>
  <c r="AE76" i="13"/>
  <c r="AG76" i="13"/>
  <c r="AV76" i="13" s="1"/>
  <c r="AH76" i="13"/>
  <c r="AK76" i="13" s="1"/>
  <c r="D78" i="13"/>
  <c r="F78" i="13"/>
  <c r="AD80" i="13" s="1"/>
  <c r="AO78" i="13"/>
  <c r="AP78" i="13"/>
  <c r="AQ78" i="13"/>
  <c r="AR78" i="13"/>
  <c r="AY78" i="13"/>
  <c r="AZ78" i="13"/>
  <c r="B79" i="13"/>
  <c r="T79" i="13"/>
  <c r="AO79" i="13"/>
  <c r="AP79" i="13"/>
  <c r="AQ79" i="13"/>
  <c r="AA80" i="13"/>
  <c r="AB80" i="13"/>
  <c r="AC80" i="13"/>
  <c r="AG80" i="13"/>
  <c r="AH80" i="13" s="1"/>
  <c r="D82" i="13"/>
  <c r="F82" i="13"/>
  <c r="AD84" i="13" s="1"/>
  <c r="AO82" i="13"/>
  <c r="AP82" i="13"/>
  <c r="AQ82" i="13"/>
  <c r="AR82" i="13"/>
  <c r="AY82" i="13"/>
  <c r="AZ82" i="13"/>
  <c r="B83" i="13"/>
  <c r="T83" i="13"/>
  <c r="AO83" i="13"/>
  <c r="AP83" i="13"/>
  <c r="AQ83" i="13"/>
  <c r="AA84" i="13"/>
  <c r="AB84" i="13"/>
  <c r="AC84" i="13"/>
  <c r="AE84" i="13"/>
  <c r="AG84" i="13"/>
  <c r="AH84" i="13" s="1"/>
  <c r="AV142" i="5"/>
  <c r="AT142" i="5"/>
  <c r="D86" i="5"/>
  <c r="U88" i="5" s="1"/>
  <c r="V88" i="5" s="1"/>
  <c r="D181" i="11" s="1"/>
  <c r="AO86" i="5"/>
  <c r="AP86" i="5"/>
  <c r="AQ86" i="5"/>
  <c r="AR86" i="5"/>
  <c r="AY86" i="5"/>
  <c r="AZ86" i="5"/>
  <c r="B87" i="5"/>
  <c r="F87" i="5" s="1"/>
  <c r="B181" i="11" s="1"/>
  <c r="T87" i="5"/>
  <c r="AO87" i="5"/>
  <c r="AP87" i="5"/>
  <c r="AQ87" i="5"/>
  <c r="W88" i="5"/>
  <c r="X88" i="5" s="1"/>
  <c r="AA88" i="5"/>
  <c r="AB88" i="5"/>
  <c r="AC88" i="5"/>
  <c r="AD88" i="5"/>
  <c r="AE88" i="5"/>
  <c r="AF88" i="5"/>
  <c r="AG88" i="5"/>
  <c r="AH88" i="5" s="1"/>
  <c r="AT88" i="5"/>
  <c r="D90" i="5"/>
  <c r="AT92" i="5" s="1"/>
  <c r="AO90" i="5"/>
  <c r="AP90" i="5"/>
  <c r="AQ90" i="5"/>
  <c r="AR90" i="5"/>
  <c r="AY90" i="5"/>
  <c r="AZ90" i="5"/>
  <c r="B91" i="5"/>
  <c r="F91" i="5" s="1"/>
  <c r="B182" i="11" s="1"/>
  <c r="T91" i="5"/>
  <c r="AO91" i="5"/>
  <c r="AP91" i="5"/>
  <c r="AQ91" i="5"/>
  <c r="W92" i="5"/>
  <c r="X92" i="5" s="1"/>
  <c r="AA92" i="5"/>
  <c r="AB92" i="5"/>
  <c r="AC92" i="5"/>
  <c r="AD92" i="5"/>
  <c r="AE92" i="5"/>
  <c r="AF92" i="5"/>
  <c r="AG92" i="5"/>
  <c r="AV92" i="5" s="1"/>
  <c r="D94" i="5"/>
  <c r="AT96" i="5" s="1"/>
  <c r="AO94" i="5"/>
  <c r="AP94" i="5"/>
  <c r="AQ94" i="5"/>
  <c r="AR94" i="5"/>
  <c r="AY94" i="5"/>
  <c r="AZ94" i="5"/>
  <c r="B95" i="5"/>
  <c r="AX96" i="5" s="1"/>
  <c r="T95" i="5"/>
  <c r="AO95" i="5"/>
  <c r="AP95" i="5"/>
  <c r="AQ95" i="5"/>
  <c r="W96" i="5"/>
  <c r="X96" i="5" s="1"/>
  <c r="AA96" i="5"/>
  <c r="AB96" i="5"/>
  <c r="AC96" i="5"/>
  <c r="AD96" i="5"/>
  <c r="AE96" i="5"/>
  <c r="AF96" i="5"/>
  <c r="AG96" i="5"/>
  <c r="AH96" i="5" s="1"/>
  <c r="D98" i="5"/>
  <c r="AT100" i="5" s="1"/>
  <c r="AO98" i="5"/>
  <c r="AP98" i="5"/>
  <c r="AQ98" i="5"/>
  <c r="AR98" i="5"/>
  <c r="AY98" i="5"/>
  <c r="AZ98" i="5"/>
  <c r="B99" i="5"/>
  <c r="T99" i="5"/>
  <c r="AO99" i="5"/>
  <c r="AP99" i="5"/>
  <c r="AQ99" i="5"/>
  <c r="W100" i="5"/>
  <c r="X100" i="5" s="1"/>
  <c r="AA100" i="5"/>
  <c r="AB100" i="5"/>
  <c r="AC100" i="5"/>
  <c r="AD100" i="5"/>
  <c r="AE100" i="5"/>
  <c r="AF100" i="5"/>
  <c r="AG100" i="5"/>
  <c r="AV100" i="5" s="1"/>
  <c r="D102" i="5"/>
  <c r="U104" i="5" s="1"/>
  <c r="V104" i="5" s="1"/>
  <c r="D185" i="11" s="1"/>
  <c r="AO102" i="5"/>
  <c r="AP102" i="5"/>
  <c r="AQ102" i="5"/>
  <c r="AR102" i="5"/>
  <c r="AY102" i="5"/>
  <c r="AZ102" i="5"/>
  <c r="B103" i="5"/>
  <c r="T103" i="5"/>
  <c r="AO103" i="5"/>
  <c r="AP103" i="5"/>
  <c r="AQ103" i="5"/>
  <c r="W104" i="5"/>
  <c r="X104" i="5" s="1"/>
  <c r="AA104" i="5"/>
  <c r="AB104" i="5"/>
  <c r="AC104" i="5"/>
  <c r="AD104" i="5"/>
  <c r="AE104" i="5"/>
  <c r="AF104" i="5"/>
  <c r="AG104" i="5"/>
  <c r="AH104" i="5" s="1"/>
  <c r="AI104" i="5" s="1"/>
  <c r="D106" i="5"/>
  <c r="U108" i="5" s="1"/>
  <c r="V108" i="5" s="1"/>
  <c r="D186" i="11" s="1"/>
  <c r="AO106" i="5"/>
  <c r="AP106" i="5"/>
  <c r="AQ106" i="5"/>
  <c r="AR106" i="5"/>
  <c r="AY106" i="5"/>
  <c r="AZ106" i="5"/>
  <c r="B107" i="5"/>
  <c r="F107" i="5" s="1"/>
  <c r="B186" i="11" s="1"/>
  <c r="T107" i="5"/>
  <c r="AO107" i="5"/>
  <c r="AP107" i="5"/>
  <c r="AQ107" i="5"/>
  <c r="W108" i="5"/>
  <c r="X108" i="5" s="1"/>
  <c r="AA108" i="5"/>
  <c r="AB108" i="5"/>
  <c r="AC108" i="5"/>
  <c r="AD108" i="5"/>
  <c r="AE108" i="5"/>
  <c r="AF108" i="5"/>
  <c r="AG108" i="5"/>
  <c r="AH108" i="5" s="1"/>
  <c r="D110" i="5"/>
  <c r="AO110" i="5"/>
  <c r="AP110" i="5"/>
  <c r="AQ110" i="5"/>
  <c r="AR110" i="5"/>
  <c r="AY110" i="5"/>
  <c r="AZ110" i="5"/>
  <c r="B111" i="5"/>
  <c r="T111" i="5"/>
  <c r="AO111" i="5"/>
  <c r="AP111" i="5"/>
  <c r="AQ111" i="5"/>
  <c r="U112" i="5"/>
  <c r="V112" i="5" s="1"/>
  <c r="D187" i="11" s="1"/>
  <c r="W112" i="5"/>
  <c r="X112" i="5" s="1"/>
  <c r="AA112" i="5"/>
  <c r="AB112" i="5"/>
  <c r="AC112" i="5"/>
  <c r="AD112" i="5"/>
  <c r="AE112" i="5"/>
  <c r="AF112" i="5"/>
  <c r="AG112" i="5"/>
  <c r="AV112" i="5" s="1"/>
  <c r="AT112" i="5"/>
  <c r="D114" i="5"/>
  <c r="AO114" i="5"/>
  <c r="AP114" i="5"/>
  <c r="AQ114" i="5"/>
  <c r="AR114" i="5"/>
  <c r="AY114" i="5"/>
  <c r="AZ114" i="5"/>
  <c r="B115" i="5"/>
  <c r="T115" i="5"/>
  <c r="AO115" i="5"/>
  <c r="AP115" i="5"/>
  <c r="AQ115" i="5"/>
  <c r="W116" i="5"/>
  <c r="X116" i="5" s="1"/>
  <c r="AA116" i="5"/>
  <c r="AB116" i="5"/>
  <c r="AC116" i="5"/>
  <c r="AD116" i="5"/>
  <c r="AE116" i="5"/>
  <c r="AF116" i="5"/>
  <c r="AG116" i="5"/>
  <c r="AH116" i="5" s="1"/>
  <c r="D118" i="5"/>
  <c r="U120" i="5" s="1"/>
  <c r="V120" i="5" s="1"/>
  <c r="D189" i="11" s="1"/>
  <c r="AO118" i="5"/>
  <c r="AP118" i="5"/>
  <c r="AQ118" i="5"/>
  <c r="AR118" i="5"/>
  <c r="AY118" i="5"/>
  <c r="AZ118" i="5"/>
  <c r="B119" i="5"/>
  <c r="T119" i="5"/>
  <c r="AO119" i="5"/>
  <c r="AP119" i="5"/>
  <c r="AQ119" i="5"/>
  <c r="W120" i="5"/>
  <c r="X120" i="5" s="1"/>
  <c r="AA120" i="5"/>
  <c r="AB120" i="5"/>
  <c r="AC120" i="5"/>
  <c r="AD120" i="5"/>
  <c r="AE120" i="5"/>
  <c r="AF120" i="5"/>
  <c r="AG120" i="5"/>
  <c r="AH120" i="5" s="1"/>
  <c r="D122" i="5"/>
  <c r="AT124" i="5" s="1"/>
  <c r="AO122" i="5"/>
  <c r="AP122" i="5"/>
  <c r="AQ122" i="5"/>
  <c r="AR122" i="5"/>
  <c r="AY122" i="5"/>
  <c r="AZ122" i="5"/>
  <c r="B123" i="5"/>
  <c r="F123" i="5" s="1"/>
  <c r="B190" i="11" s="1"/>
  <c r="T123" i="5"/>
  <c r="AO123" i="5"/>
  <c r="AP123" i="5"/>
  <c r="AQ123" i="5"/>
  <c r="W124" i="5"/>
  <c r="X124" i="5" s="1"/>
  <c r="AA124" i="5"/>
  <c r="AB124" i="5"/>
  <c r="AC124" i="5"/>
  <c r="AD124" i="5"/>
  <c r="AE124" i="5"/>
  <c r="AF124" i="5"/>
  <c r="AG124" i="5"/>
  <c r="AH124" i="5" s="1"/>
  <c r="D126" i="5"/>
  <c r="U128" i="5" s="1"/>
  <c r="V128" i="5" s="1"/>
  <c r="AO126" i="5"/>
  <c r="AP126" i="5"/>
  <c r="AQ126" i="5"/>
  <c r="AR126" i="5"/>
  <c r="AY126" i="5"/>
  <c r="AZ126" i="5"/>
  <c r="B127" i="5"/>
  <c r="AX128" i="5" s="1"/>
  <c r="T127" i="5"/>
  <c r="AO127" i="5"/>
  <c r="AP127" i="5"/>
  <c r="AQ127" i="5"/>
  <c r="W128" i="5"/>
  <c r="X128" i="5" s="1"/>
  <c r="AA128" i="5"/>
  <c r="AB128" i="5"/>
  <c r="AC128" i="5"/>
  <c r="AD128" i="5"/>
  <c r="AE128" i="5"/>
  <c r="AF128" i="5"/>
  <c r="AG128" i="5"/>
  <c r="AH128" i="5" s="1"/>
  <c r="D130" i="5"/>
  <c r="U132" i="5" s="1"/>
  <c r="V132" i="5" s="1"/>
  <c r="D192" i="11" s="1"/>
  <c r="AO130" i="5"/>
  <c r="AP130" i="5"/>
  <c r="AQ130" i="5"/>
  <c r="AR130" i="5"/>
  <c r="AY130" i="5"/>
  <c r="AZ130" i="5"/>
  <c r="B131" i="5"/>
  <c r="T131" i="5"/>
  <c r="AO131" i="5"/>
  <c r="AP131" i="5"/>
  <c r="AQ131" i="5"/>
  <c r="W132" i="5"/>
  <c r="X132" i="5" s="1"/>
  <c r="AA132" i="5"/>
  <c r="AB132" i="5"/>
  <c r="AC132" i="5"/>
  <c r="AD132" i="5"/>
  <c r="AE132" i="5"/>
  <c r="AF132" i="5"/>
  <c r="AG132" i="5"/>
  <c r="AV132" i="5" s="1"/>
  <c r="D134" i="5"/>
  <c r="AT136" i="5" s="1"/>
  <c r="AO134" i="5"/>
  <c r="AP134" i="5"/>
  <c r="AQ134" i="5"/>
  <c r="AR134" i="5"/>
  <c r="AY134" i="5"/>
  <c r="AZ134" i="5"/>
  <c r="B135" i="5"/>
  <c r="T135" i="5"/>
  <c r="AO135" i="5"/>
  <c r="AP135" i="5"/>
  <c r="AQ135" i="5"/>
  <c r="W136" i="5"/>
  <c r="X136" i="5" s="1"/>
  <c r="AA136" i="5"/>
  <c r="AB136" i="5"/>
  <c r="AC136" i="5"/>
  <c r="AD136" i="5"/>
  <c r="AE136" i="5"/>
  <c r="AF136" i="5"/>
  <c r="AG136" i="5"/>
  <c r="AV136" i="5" s="1"/>
  <c r="D138" i="5"/>
  <c r="U140" i="5" s="1"/>
  <c r="V140" i="5" s="1"/>
  <c r="D194" i="11" s="1"/>
  <c r="AO138" i="5"/>
  <c r="AP138" i="5"/>
  <c r="AQ138" i="5"/>
  <c r="AR138" i="5"/>
  <c r="AY138" i="5"/>
  <c r="AZ138" i="5"/>
  <c r="B139" i="5"/>
  <c r="F139" i="5" s="1"/>
  <c r="B194" i="11" s="1"/>
  <c r="T139" i="5"/>
  <c r="AO139" i="5"/>
  <c r="AP139" i="5"/>
  <c r="AQ139" i="5"/>
  <c r="W140" i="5"/>
  <c r="X140" i="5" s="1"/>
  <c r="AA140" i="5"/>
  <c r="AB140" i="5"/>
  <c r="AC140" i="5"/>
  <c r="AD140" i="5"/>
  <c r="AE140" i="5"/>
  <c r="AF140" i="5"/>
  <c r="AG140" i="5"/>
  <c r="AH140" i="5" s="1"/>
  <c r="AT140" i="5"/>
  <c r="D54" i="5"/>
  <c r="U56" i="5" s="1"/>
  <c r="V56" i="5" s="1"/>
  <c r="D173" i="11" s="1"/>
  <c r="AO54" i="5"/>
  <c r="AP54" i="5"/>
  <c r="AQ54" i="5"/>
  <c r="AR54" i="5"/>
  <c r="AY54" i="5"/>
  <c r="AZ54" i="5"/>
  <c r="B55" i="5"/>
  <c r="T55" i="5"/>
  <c r="AO55" i="5"/>
  <c r="AP55" i="5"/>
  <c r="AQ55" i="5"/>
  <c r="W56" i="5"/>
  <c r="X56" i="5" s="1"/>
  <c r="AA56" i="5"/>
  <c r="AB56" i="5"/>
  <c r="AC56" i="5"/>
  <c r="AD56" i="5"/>
  <c r="AE56" i="5"/>
  <c r="AF56" i="5"/>
  <c r="AG56" i="5"/>
  <c r="AH56" i="5" s="1"/>
  <c r="D58" i="5"/>
  <c r="U60" i="5" s="1"/>
  <c r="V60" i="5" s="1"/>
  <c r="D174" i="11" s="1"/>
  <c r="AO58" i="5"/>
  <c r="AP58" i="5"/>
  <c r="AQ58" i="5"/>
  <c r="AR58" i="5"/>
  <c r="AY58" i="5"/>
  <c r="AZ58" i="5"/>
  <c r="B59" i="5"/>
  <c r="AX60" i="5" s="1"/>
  <c r="T59" i="5"/>
  <c r="AO59" i="5"/>
  <c r="AP59" i="5"/>
  <c r="AQ59" i="5"/>
  <c r="W60" i="5"/>
  <c r="X60" i="5" s="1"/>
  <c r="AA60" i="5"/>
  <c r="AB60" i="5"/>
  <c r="AC60" i="5"/>
  <c r="AD60" i="5"/>
  <c r="AE60" i="5"/>
  <c r="AF60" i="5"/>
  <c r="AG60" i="5"/>
  <c r="AV60" i="5" s="1"/>
  <c r="D62" i="5"/>
  <c r="AT64" i="5" s="1"/>
  <c r="AO62" i="5"/>
  <c r="AP62" i="5"/>
  <c r="AQ62" i="5"/>
  <c r="AR62" i="5"/>
  <c r="AY62" i="5"/>
  <c r="AZ62" i="5"/>
  <c r="B63" i="5"/>
  <c r="F63" i="5" s="1"/>
  <c r="B175" i="11" s="1"/>
  <c r="T63" i="5"/>
  <c r="AO63" i="5"/>
  <c r="AP63" i="5"/>
  <c r="AQ63" i="5"/>
  <c r="U64" i="5"/>
  <c r="V64" i="5" s="1"/>
  <c r="W64" i="5"/>
  <c r="X64" i="5" s="1"/>
  <c r="AA64" i="5"/>
  <c r="AB64" i="5"/>
  <c r="AC64" i="5"/>
  <c r="AD64" i="5"/>
  <c r="AE64" i="5"/>
  <c r="AF64" i="5"/>
  <c r="AG64" i="5"/>
  <c r="AH64" i="5" s="1"/>
  <c r="AK64" i="5" s="1"/>
  <c r="AV64" i="5"/>
  <c r="D66" i="5"/>
  <c r="U68" i="5" s="1"/>
  <c r="V68" i="5" s="1"/>
  <c r="D176" i="11" s="1"/>
  <c r="AO66" i="5"/>
  <c r="AP66" i="5"/>
  <c r="AQ66" i="5"/>
  <c r="AR66" i="5"/>
  <c r="AY66" i="5"/>
  <c r="AZ66" i="5"/>
  <c r="B67" i="5"/>
  <c r="T67" i="5"/>
  <c r="AO67" i="5"/>
  <c r="AP67" i="5"/>
  <c r="AQ67" i="5"/>
  <c r="W68" i="5"/>
  <c r="X68" i="5" s="1"/>
  <c r="AA68" i="5"/>
  <c r="AB68" i="5"/>
  <c r="AC68" i="5"/>
  <c r="AD68" i="5"/>
  <c r="AE68" i="5"/>
  <c r="AF68" i="5"/>
  <c r="AG68" i="5"/>
  <c r="AV68" i="5" s="1"/>
  <c r="AT68" i="5"/>
  <c r="D70" i="5"/>
  <c r="U72" i="5" s="1"/>
  <c r="V72" i="5" s="1"/>
  <c r="D177" i="11" s="1"/>
  <c r="AO70" i="5"/>
  <c r="AP70" i="5"/>
  <c r="AQ70" i="5"/>
  <c r="AR70" i="5"/>
  <c r="AY70" i="5"/>
  <c r="AZ70" i="5"/>
  <c r="B71" i="5"/>
  <c r="T71" i="5"/>
  <c r="AO71" i="5"/>
  <c r="AP71" i="5"/>
  <c r="AQ71" i="5"/>
  <c r="W72" i="5"/>
  <c r="X72" i="5" s="1"/>
  <c r="AA72" i="5"/>
  <c r="AB72" i="5"/>
  <c r="AC72" i="5"/>
  <c r="AD72" i="5"/>
  <c r="AE72" i="5"/>
  <c r="AF72" i="5"/>
  <c r="AG72" i="5"/>
  <c r="AV72" i="5" s="1"/>
  <c r="D74" i="5"/>
  <c r="AT76" i="5" s="1"/>
  <c r="AO74" i="5"/>
  <c r="AP74" i="5"/>
  <c r="AQ74" i="5"/>
  <c r="AR74" i="5"/>
  <c r="AY74" i="5"/>
  <c r="AZ74" i="5"/>
  <c r="B75" i="5"/>
  <c r="T75" i="5"/>
  <c r="AO75" i="5"/>
  <c r="AP75" i="5"/>
  <c r="AQ75" i="5"/>
  <c r="W76" i="5"/>
  <c r="X76" i="5" s="1"/>
  <c r="AA76" i="5"/>
  <c r="AB76" i="5"/>
  <c r="AC76" i="5"/>
  <c r="AD76" i="5"/>
  <c r="AE76" i="5"/>
  <c r="AF76" i="5"/>
  <c r="AG76" i="5"/>
  <c r="AH76" i="5" s="1"/>
  <c r="D78" i="5"/>
  <c r="AT80" i="5" s="1"/>
  <c r="AO78" i="5"/>
  <c r="AP78" i="5"/>
  <c r="AQ78" i="5"/>
  <c r="AR78" i="5"/>
  <c r="AY78" i="5"/>
  <c r="AZ78" i="5"/>
  <c r="B79" i="5"/>
  <c r="F79" i="5" s="1"/>
  <c r="B179" i="11" s="1"/>
  <c r="T79" i="5"/>
  <c r="AO79" i="5"/>
  <c r="AP79" i="5"/>
  <c r="AQ79" i="5"/>
  <c r="W80" i="5"/>
  <c r="X80" i="5" s="1"/>
  <c r="AA80" i="5"/>
  <c r="AB80" i="5"/>
  <c r="AC80" i="5"/>
  <c r="AD80" i="5"/>
  <c r="AE80" i="5"/>
  <c r="AF80" i="5"/>
  <c r="AG80" i="5"/>
  <c r="AH80" i="5" s="1"/>
  <c r="D82" i="5"/>
  <c r="AT84" i="5" s="1"/>
  <c r="AO82" i="5"/>
  <c r="AP82" i="5"/>
  <c r="AQ82" i="5"/>
  <c r="AR82" i="5"/>
  <c r="AY82" i="5"/>
  <c r="AZ82" i="5"/>
  <c r="B83" i="5"/>
  <c r="T83" i="5"/>
  <c r="AO83" i="5"/>
  <c r="AP83" i="5"/>
  <c r="AQ83" i="5"/>
  <c r="W84" i="5"/>
  <c r="X84" i="5" s="1"/>
  <c r="AA84" i="5"/>
  <c r="AB84" i="5"/>
  <c r="AC84" i="5"/>
  <c r="AD84" i="5"/>
  <c r="AE84" i="5"/>
  <c r="AF84" i="5"/>
  <c r="AG84" i="5"/>
  <c r="AH84" i="5" s="1"/>
  <c r="X1" i="4"/>
  <c r="C101" i="4"/>
  <c r="G101" i="4" s="1"/>
  <c r="F101" i="4"/>
  <c r="H101" i="4"/>
  <c r="I101" i="4"/>
  <c r="AM101" i="4"/>
  <c r="AP101" i="4"/>
  <c r="AS101" i="4"/>
  <c r="AV101" i="4"/>
  <c r="BG101" i="4"/>
  <c r="BJ101" i="4"/>
  <c r="B102" i="4"/>
  <c r="BD103" i="4" s="1"/>
  <c r="C102" i="4"/>
  <c r="BE103" i="4" s="1"/>
  <c r="D102" i="4"/>
  <c r="S102" i="4"/>
  <c r="AM102" i="4"/>
  <c r="AP102" i="4"/>
  <c r="AS102" i="4"/>
  <c r="Z103" i="4"/>
  <c r="AA103" i="4"/>
  <c r="AB103" i="4"/>
  <c r="AC103" i="4"/>
  <c r="AD103" i="4"/>
  <c r="AE103" i="4"/>
  <c r="BB103" i="4" s="1"/>
  <c r="C105" i="4"/>
  <c r="G105" i="4" s="1"/>
  <c r="F105" i="4"/>
  <c r="H105" i="4"/>
  <c r="I105" i="4"/>
  <c r="AM105" i="4"/>
  <c r="AP105" i="4"/>
  <c r="AS105" i="4"/>
  <c r="AV105" i="4"/>
  <c r="BG105" i="4"/>
  <c r="BJ105" i="4"/>
  <c r="B106" i="4"/>
  <c r="BD107" i="4" s="1"/>
  <c r="C106" i="4"/>
  <c r="D106" i="4"/>
  <c r="S106" i="4"/>
  <c r="AM106" i="4"/>
  <c r="AP106" i="4"/>
  <c r="AS106" i="4"/>
  <c r="Z107" i="4"/>
  <c r="AA107" i="4"/>
  <c r="AB107" i="4"/>
  <c r="AC107" i="4"/>
  <c r="AD107" i="4"/>
  <c r="AE107" i="4"/>
  <c r="BB107" i="4" s="1"/>
  <c r="AF107" i="4"/>
  <c r="AG107" i="4"/>
  <c r="C109" i="4"/>
  <c r="F109" i="4"/>
  <c r="G109" i="4"/>
  <c r="H109" i="4"/>
  <c r="I109" i="4"/>
  <c r="AM109" i="4"/>
  <c r="AP109" i="4"/>
  <c r="AS109" i="4"/>
  <c r="AV109" i="4"/>
  <c r="BG109" i="4"/>
  <c r="BJ109" i="4"/>
  <c r="B110" i="4"/>
  <c r="BD111" i="4" s="1"/>
  <c r="BG111" i="4" s="1"/>
  <c r="C110" i="4"/>
  <c r="AW111" i="4" s="1"/>
  <c r="D110" i="4"/>
  <c r="S110" i="4"/>
  <c r="AM110" i="4"/>
  <c r="AP110" i="4"/>
  <c r="AS110" i="4"/>
  <c r="Z111" i="4"/>
  <c r="AA111" i="4"/>
  <c r="AB111" i="4"/>
  <c r="AC111" i="4"/>
  <c r="AD111" i="4"/>
  <c r="AE111" i="4"/>
  <c r="BB111" i="4" s="1"/>
  <c r="AF111" i="4"/>
  <c r="AG111" i="4"/>
  <c r="AH111" i="4" s="1"/>
  <c r="C113" i="4"/>
  <c r="G113" i="4" s="1"/>
  <c r="F113" i="4"/>
  <c r="H113" i="4"/>
  <c r="I113" i="4"/>
  <c r="AM113" i="4"/>
  <c r="AP113" i="4"/>
  <c r="AS113" i="4"/>
  <c r="AV113" i="4"/>
  <c r="BG113" i="4"/>
  <c r="BJ113" i="4"/>
  <c r="B114" i="4"/>
  <c r="BD115" i="4" s="1"/>
  <c r="C114" i="4"/>
  <c r="AW115" i="4" s="1"/>
  <c r="D114" i="4"/>
  <c r="S114" i="4"/>
  <c r="AM114" i="4"/>
  <c r="AP114" i="4"/>
  <c r="AS114" i="4"/>
  <c r="Z115" i="4"/>
  <c r="AA115" i="4"/>
  <c r="AB115" i="4"/>
  <c r="AC115" i="4"/>
  <c r="AD115" i="4"/>
  <c r="AE115" i="4"/>
  <c r="BB115" i="4" s="1"/>
  <c r="C117" i="4"/>
  <c r="F117" i="4"/>
  <c r="H117" i="4"/>
  <c r="I117" i="4"/>
  <c r="AM117" i="4"/>
  <c r="AP117" i="4"/>
  <c r="AS117" i="4"/>
  <c r="AV117" i="4"/>
  <c r="BG117" i="4"/>
  <c r="BJ117" i="4"/>
  <c r="B118" i="4"/>
  <c r="C118" i="4"/>
  <c r="BE119" i="4" s="1"/>
  <c r="D118" i="4"/>
  <c r="S118" i="4"/>
  <c r="AM118" i="4"/>
  <c r="AP118" i="4"/>
  <c r="AS118" i="4"/>
  <c r="Z119" i="4"/>
  <c r="AA119" i="4"/>
  <c r="AB119" i="4"/>
  <c r="AC119" i="4"/>
  <c r="AD119" i="4"/>
  <c r="AE119" i="4"/>
  <c r="BB119" i="4" s="1"/>
  <c r="AF119" i="4"/>
  <c r="AG119" i="4" s="1"/>
  <c r="C121" i="4"/>
  <c r="G121" i="4" s="1"/>
  <c r="F121" i="4"/>
  <c r="H121" i="4"/>
  <c r="I121" i="4"/>
  <c r="AM121" i="4"/>
  <c r="AP121" i="4"/>
  <c r="AS121" i="4"/>
  <c r="AV121" i="4"/>
  <c r="BG121" i="4"/>
  <c r="BJ121" i="4"/>
  <c r="B122" i="4"/>
  <c r="C122" i="4"/>
  <c r="D122" i="4"/>
  <c r="S122" i="4"/>
  <c r="AM122" i="4"/>
  <c r="AP122" i="4"/>
  <c r="AS122" i="4"/>
  <c r="Z123" i="4"/>
  <c r="AA123" i="4"/>
  <c r="AB123" i="4"/>
  <c r="AC123" i="4"/>
  <c r="AD123" i="4"/>
  <c r="AE123" i="4"/>
  <c r="BB123" i="4" s="1"/>
  <c r="AF123" i="4"/>
  <c r="AG123" i="4" s="1"/>
  <c r="C125" i="4"/>
  <c r="G125" i="4" s="1"/>
  <c r="F125" i="4"/>
  <c r="H125" i="4"/>
  <c r="I125" i="4"/>
  <c r="AM125" i="4"/>
  <c r="AP125" i="4"/>
  <c r="AS125" i="4"/>
  <c r="AV125" i="4"/>
  <c r="BG125" i="4"/>
  <c r="BJ125" i="4"/>
  <c r="B126" i="4"/>
  <c r="BD127" i="4" s="1"/>
  <c r="C126" i="4"/>
  <c r="BE127" i="4" s="1"/>
  <c r="D126" i="4"/>
  <c r="AX127" i="4" s="1"/>
  <c r="S126" i="4"/>
  <c r="AM126" i="4"/>
  <c r="AP126" i="4"/>
  <c r="AS126" i="4"/>
  <c r="Z127" i="4"/>
  <c r="AA127" i="4"/>
  <c r="AB127" i="4"/>
  <c r="AC127" i="4"/>
  <c r="AD127" i="4"/>
  <c r="AE127" i="4"/>
  <c r="BB127" i="4" s="1"/>
  <c r="C129" i="4"/>
  <c r="F129" i="4"/>
  <c r="H129" i="4"/>
  <c r="I129" i="4"/>
  <c r="AM129" i="4"/>
  <c r="AP129" i="4"/>
  <c r="AS129" i="4"/>
  <c r="AV129" i="4"/>
  <c r="BG129" i="4"/>
  <c r="BJ129" i="4"/>
  <c r="B130" i="4"/>
  <c r="BD131" i="4" s="1"/>
  <c r="C130" i="4"/>
  <c r="D130" i="4"/>
  <c r="S130" i="4"/>
  <c r="AM130" i="4"/>
  <c r="AP130" i="4"/>
  <c r="AS130" i="4"/>
  <c r="Z131" i="4"/>
  <c r="AA131" i="4"/>
  <c r="AB131" i="4"/>
  <c r="AC131" i="4"/>
  <c r="AD131" i="4"/>
  <c r="AE131" i="4"/>
  <c r="BB131" i="4" s="1"/>
  <c r="AF131" i="4"/>
  <c r="AG131" i="4" s="1"/>
  <c r="C133" i="4"/>
  <c r="AF135" i="4" s="1"/>
  <c r="AG135" i="4" s="1"/>
  <c r="F133" i="4"/>
  <c r="G133" i="4"/>
  <c r="V135" i="4" s="1"/>
  <c r="W135" i="4" s="1"/>
  <c r="H133" i="4"/>
  <c r="I133" i="4"/>
  <c r="AM133" i="4"/>
  <c r="AP133" i="4"/>
  <c r="AS133" i="4"/>
  <c r="AV133" i="4"/>
  <c r="BG133" i="4"/>
  <c r="BJ133" i="4"/>
  <c r="B134" i="4"/>
  <c r="BD135" i="4" s="1"/>
  <c r="C134" i="4"/>
  <c r="D134" i="4"/>
  <c r="S134" i="4"/>
  <c r="AM134" i="4"/>
  <c r="AP134" i="4"/>
  <c r="AS134" i="4"/>
  <c r="Z135" i="4"/>
  <c r="AA135" i="4"/>
  <c r="AB135" i="4"/>
  <c r="AC135" i="4"/>
  <c r="AD135" i="4"/>
  <c r="AE135" i="4"/>
  <c r="BB135" i="4" s="1"/>
  <c r="C137" i="4"/>
  <c r="G137" i="4" s="1"/>
  <c r="F137" i="4"/>
  <c r="H137" i="4"/>
  <c r="I137" i="4"/>
  <c r="AM137" i="4"/>
  <c r="AP137" i="4"/>
  <c r="AS137" i="4"/>
  <c r="AV137" i="4"/>
  <c r="BG137" i="4"/>
  <c r="BJ137" i="4"/>
  <c r="B138" i="4"/>
  <c r="BD139" i="4" s="1"/>
  <c r="C138" i="4"/>
  <c r="D138" i="4"/>
  <c r="BF139" i="4" s="1"/>
  <c r="S138" i="4"/>
  <c r="AM138" i="4"/>
  <c r="AP138" i="4"/>
  <c r="AS138" i="4"/>
  <c r="Z139" i="4"/>
  <c r="AA139" i="4"/>
  <c r="AB139" i="4"/>
  <c r="AC139" i="4"/>
  <c r="AD139" i="4"/>
  <c r="AE139" i="4"/>
  <c r="BB139" i="4" s="1"/>
  <c r="AF139" i="4"/>
  <c r="AG139" i="4" s="1"/>
  <c r="C93" i="4"/>
  <c r="G93" i="4" s="1"/>
  <c r="F93" i="4"/>
  <c r="H93" i="4"/>
  <c r="I93" i="4"/>
  <c r="AM93" i="4"/>
  <c r="AP93" i="4"/>
  <c r="AS93" i="4"/>
  <c r="AV93" i="4"/>
  <c r="BG93" i="4"/>
  <c r="BJ93" i="4"/>
  <c r="B94" i="4"/>
  <c r="BD95" i="4" s="1"/>
  <c r="BG95" i="4" s="1"/>
  <c r="C94" i="4"/>
  <c r="BE95" i="4" s="1"/>
  <c r="D94" i="4"/>
  <c r="S94" i="4"/>
  <c r="AM94" i="4"/>
  <c r="AP94" i="4"/>
  <c r="AS94" i="4"/>
  <c r="Z95" i="4"/>
  <c r="AA95" i="4"/>
  <c r="AB95" i="4"/>
  <c r="AC95" i="4"/>
  <c r="AD95" i="4"/>
  <c r="AE95" i="4"/>
  <c r="BB95" i="4" s="1"/>
  <c r="AF95" i="4"/>
  <c r="AG95" i="4" s="1"/>
  <c r="AH95" i="4" s="1"/>
  <c r="C97" i="4"/>
  <c r="G97" i="4" s="1"/>
  <c r="F97" i="4"/>
  <c r="H97" i="4"/>
  <c r="I97" i="4"/>
  <c r="AM97" i="4"/>
  <c r="AP97" i="4"/>
  <c r="AS97" i="4"/>
  <c r="AV97" i="4"/>
  <c r="BG97" i="4"/>
  <c r="BJ97" i="4"/>
  <c r="B98" i="4"/>
  <c r="BD99" i="4" s="1"/>
  <c r="C98" i="4"/>
  <c r="BE99" i="4" s="1"/>
  <c r="D98" i="4"/>
  <c r="S98" i="4"/>
  <c r="AM98" i="4"/>
  <c r="AP98" i="4"/>
  <c r="AS98" i="4"/>
  <c r="Z99" i="4"/>
  <c r="AA99" i="4"/>
  <c r="AB99" i="4"/>
  <c r="AC99" i="4"/>
  <c r="AD99" i="4"/>
  <c r="AE99" i="4"/>
  <c r="BB99" i="4" s="1"/>
  <c r="C57" i="4"/>
  <c r="G57" i="4" s="1"/>
  <c r="F57" i="4"/>
  <c r="H57" i="4"/>
  <c r="I57" i="4"/>
  <c r="AM57" i="4"/>
  <c r="AP57" i="4"/>
  <c r="AS57" i="4"/>
  <c r="AV57" i="4"/>
  <c r="BG57" i="4"/>
  <c r="BJ57" i="4"/>
  <c r="B58" i="4"/>
  <c r="C58" i="4"/>
  <c r="D58" i="4"/>
  <c r="S58" i="4"/>
  <c r="AM58" i="4"/>
  <c r="AP58" i="4"/>
  <c r="AS58" i="4"/>
  <c r="Z59" i="4"/>
  <c r="AA59" i="4"/>
  <c r="AB59" i="4"/>
  <c r="AC59" i="4"/>
  <c r="AD59" i="4"/>
  <c r="AE59" i="4"/>
  <c r="BB59" i="4" s="1"/>
  <c r="AF59" i="4"/>
  <c r="AG59" i="4" s="1"/>
  <c r="C61" i="4"/>
  <c r="G61" i="4" s="1"/>
  <c r="F61" i="4"/>
  <c r="H61" i="4"/>
  <c r="I61" i="4"/>
  <c r="AM61" i="4"/>
  <c r="AP61" i="4"/>
  <c r="AS61" i="4"/>
  <c r="AV61" i="4"/>
  <c r="BG61" i="4"/>
  <c r="BJ61" i="4"/>
  <c r="B62" i="4"/>
  <c r="C62" i="4"/>
  <c r="BE63" i="4" s="1"/>
  <c r="D62" i="4"/>
  <c r="S62" i="4"/>
  <c r="AM62" i="4"/>
  <c r="AP62" i="4"/>
  <c r="AS62" i="4"/>
  <c r="Z63" i="4"/>
  <c r="AA63" i="4"/>
  <c r="AB63" i="4"/>
  <c r="AC63" i="4"/>
  <c r="AD63" i="4"/>
  <c r="AE63" i="4"/>
  <c r="BB63" i="4" s="1"/>
  <c r="C65" i="4"/>
  <c r="G65" i="4" s="1"/>
  <c r="F65" i="4"/>
  <c r="H65" i="4"/>
  <c r="I65" i="4"/>
  <c r="AM65" i="4"/>
  <c r="AP65" i="4"/>
  <c r="AS65" i="4"/>
  <c r="AV65" i="4"/>
  <c r="BG65" i="4"/>
  <c r="BJ65" i="4"/>
  <c r="B66" i="4"/>
  <c r="C66" i="4"/>
  <c r="D66" i="4"/>
  <c r="S66" i="4"/>
  <c r="AM66" i="4"/>
  <c r="AP66" i="4"/>
  <c r="AS66" i="4"/>
  <c r="Z67" i="4"/>
  <c r="AA67" i="4"/>
  <c r="AB67" i="4"/>
  <c r="AC67" i="4"/>
  <c r="AD67" i="4"/>
  <c r="AE67" i="4"/>
  <c r="BB67" i="4" s="1"/>
  <c r="C69" i="4"/>
  <c r="G69" i="4" s="1"/>
  <c r="F69" i="4"/>
  <c r="H69" i="4"/>
  <c r="I69" i="4"/>
  <c r="AM69" i="4"/>
  <c r="AP69" i="4"/>
  <c r="AS69" i="4"/>
  <c r="AV69" i="4"/>
  <c r="BG69" i="4"/>
  <c r="BJ69" i="4"/>
  <c r="B70" i="4"/>
  <c r="BD71" i="4" s="1"/>
  <c r="C70" i="4"/>
  <c r="BE71" i="4" s="1"/>
  <c r="D70" i="4"/>
  <c r="S70" i="4"/>
  <c r="AM70" i="4"/>
  <c r="AP70" i="4"/>
  <c r="AS70" i="4"/>
  <c r="Z71" i="4"/>
  <c r="AA71" i="4"/>
  <c r="AB71" i="4"/>
  <c r="AC71" i="4"/>
  <c r="AD71" i="4"/>
  <c r="AE71" i="4"/>
  <c r="BB71" i="4" s="1"/>
  <c r="C73" i="4"/>
  <c r="AF75" i="4" s="1"/>
  <c r="AG75" i="4" s="1"/>
  <c r="F73" i="4"/>
  <c r="H73" i="4"/>
  <c r="I73" i="4"/>
  <c r="AM73" i="4"/>
  <c r="AP73" i="4"/>
  <c r="AS73" i="4"/>
  <c r="AV73" i="4"/>
  <c r="BG73" i="4"/>
  <c r="BJ73" i="4"/>
  <c r="B74" i="4"/>
  <c r="C74" i="4"/>
  <c r="D74" i="4"/>
  <c r="BF75" i="4" s="1"/>
  <c r="S74" i="4"/>
  <c r="AM74" i="4"/>
  <c r="AP74" i="4"/>
  <c r="AS74" i="4"/>
  <c r="Z75" i="4"/>
  <c r="AA75" i="4"/>
  <c r="AB75" i="4"/>
  <c r="AC75" i="4"/>
  <c r="AD75" i="4"/>
  <c r="AE75" i="4"/>
  <c r="BB75" i="4" s="1"/>
  <c r="C77" i="4"/>
  <c r="F77" i="4"/>
  <c r="H77" i="4"/>
  <c r="I77" i="4"/>
  <c r="AM77" i="4"/>
  <c r="AP77" i="4"/>
  <c r="AS77" i="4"/>
  <c r="AV77" i="4"/>
  <c r="BG77" i="4"/>
  <c r="BJ77" i="4"/>
  <c r="B78" i="4"/>
  <c r="C78" i="4"/>
  <c r="D78" i="4"/>
  <c r="BF79" i="4" s="1"/>
  <c r="S78" i="4"/>
  <c r="AM78" i="4"/>
  <c r="AP78" i="4"/>
  <c r="AS78" i="4"/>
  <c r="Z79" i="4"/>
  <c r="AA79" i="4"/>
  <c r="AB79" i="4"/>
  <c r="AC79" i="4"/>
  <c r="AD79" i="4"/>
  <c r="AE79" i="4"/>
  <c r="BB79" i="4" s="1"/>
  <c r="C81" i="4"/>
  <c r="G81" i="4" s="1"/>
  <c r="F81" i="4"/>
  <c r="H81" i="4"/>
  <c r="I81" i="4"/>
  <c r="AM81" i="4"/>
  <c r="AP81" i="4"/>
  <c r="AS81" i="4"/>
  <c r="AV81" i="4"/>
  <c r="BG81" i="4"/>
  <c r="BJ81" i="4"/>
  <c r="B82" i="4"/>
  <c r="C82" i="4"/>
  <c r="BE83" i="4" s="1"/>
  <c r="D82" i="4"/>
  <c r="BF83" i="4" s="1"/>
  <c r="S82" i="4"/>
  <c r="AM82" i="4"/>
  <c r="AP82" i="4"/>
  <c r="AS82" i="4"/>
  <c r="Z83" i="4"/>
  <c r="AA83" i="4"/>
  <c r="AB83" i="4"/>
  <c r="AC83" i="4"/>
  <c r="AD83" i="4"/>
  <c r="AE83" i="4"/>
  <c r="BB83" i="4" s="1"/>
  <c r="C85" i="4"/>
  <c r="AF87" i="4" s="1"/>
  <c r="AG87" i="4" s="1"/>
  <c r="F85" i="4"/>
  <c r="H85" i="4"/>
  <c r="I85" i="4"/>
  <c r="AM85" i="4"/>
  <c r="AP85" i="4"/>
  <c r="AS85" i="4"/>
  <c r="AV85" i="4"/>
  <c r="BG85" i="4"/>
  <c r="BJ85" i="4"/>
  <c r="B86" i="4"/>
  <c r="C86" i="4"/>
  <c r="D86" i="4"/>
  <c r="S86" i="4"/>
  <c r="AM86" i="4"/>
  <c r="AP86" i="4"/>
  <c r="AS86" i="4"/>
  <c r="Z87" i="4"/>
  <c r="AA87" i="4"/>
  <c r="AB87" i="4"/>
  <c r="AC87" i="4"/>
  <c r="AD87" i="4"/>
  <c r="AE87" i="4"/>
  <c r="BB87" i="4" s="1"/>
  <c r="C89" i="4"/>
  <c r="G89" i="4" s="1"/>
  <c r="F89" i="4"/>
  <c r="H89" i="4"/>
  <c r="I89" i="4"/>
  <c r="AM89" i="4"/>
  <c r="AP89" i="4"/>
  <c r="AS89" i="4"/>
  <c r="AV89" i="4"/>
  <c r="BG89" i="4"/>
  <c r="BJ89" i="4"/>
  <c r="B90" i="4"/>
  <c r="C90" i="4"/>
  <c r="D90" i="4"/>
  <c r="S90" i="4"/>
  <c r="AM90" i="4"/>
  <c r="AP90" i="4"/>
  <c r="AS90" i="4"/>
  <c r="Z91" i="4"/>
  <c r="AA91" i="4"/>
  <c r="AB91" i="4"/>
  <c r="AC91" i="4"/>
  <c r="AD91" i="4"/>
  <c r="AE91" i="4"/>
  <c r="BB91" i="4" s="1"/>
  <c r="Y1" i="2"/>
  <c r="E89" i="2"/>
  <c r="F89" i="2" s="1"/>
  <c r="AG91" i="2" s="1"/>
  <c r="G89" i="2"/>
  <c r="H89" i="2" s="1"/>
  <c r="I89" i="2"/>
  <c r="J89" i="2"/>
  <c r="AO89" i="2"/>
  <c r="AP89" i="2"/>
  <c r="AQ89" i="2"/>
  <c r="AR89" i="2"/>
  <c r="AZ89" i="2"/>
  <c r="BA89" i="2"/>
  <c r="B90" i="2"/>
  <c r="K90" i="2"/>
  <c r="U90" i="2"/>
  <c r="AO90" i="2"/>
  <c r="AP90" i="2"/>
  <c r="AQ90" i="2"/>
  <c r="AV90" i="2"/>
  <c r="AB91" i="2"/>
  <c r="AC91" i="2"/>
  <c r="AD91" i="2"/>
  <c r="AE91" i="2"/>
  <c r="AI91" i="2" s="1"/>
  <c r="AT91" i="2"/>
  <c r="AV91" i="2"/>
  <c r="E93" i="2"/>
  <c r="F93" i="2" s="1"/>
  <c r="G93" i="2"/>
  <c r="H93" i="2"/>
  <c r="AH95" i="2" s="1"/>
  <c r="I93" i="2"/>
  <c r="J93" i="2"/>
  <c r="AO93" i="2"/>
  <c r="AP93" i="2"/>
  <c r="AQ93" i="2"/>
  <c r="AR93" i="2"/>
  <c r="AZ93" i="2"/>
  <c r="BA93" i="2"/>
  <c r="B94" i="2"/>
  <c r="AY95" i="2" s="1"/>
  <c r="K94" i="2"/>
  <c r="U94" i="2"/>
  <c r="AO94" i="2"/>
  <c r="AP94" i="2"/>
  <c r="AQ94" i="2"/>
  <c r="AV94" i="2"/>
  <c r="AW94" i="2"/>
  <c r="AB95" i="2"/>
  <c r="AC95" i="2"/>
  <c r="AD95" i="2"/>
  <c r="AE95" i="2"/>
  <c r="AW95" i="2" s="1"/>
  <c r="AT95" i="2"/>
  <c r="AV95" i="2"/>
  <c r="E97" i="2"/>
  <c r="F97" i="2"/>
  <c r="G97" i="2"/>
  <c r="H97" i="2"/>
  <c r="AH99" i="2" s="1"/>
  <c r="I97" i="2"/>
  <c r="J97" i="2"/>
  <c r="AO97" i="2"/>
  <c r="AP97" i="2"/>
  <c r="AQ97" i="2"/>
  <c r="AR97" i="2"/>
  <c r="AZ97" i="2"/>
  <c r="BA97" i="2"/>
  <c r="B98" i="2"/>
  <c r="AY99" i="2" s="1"/>
  <c r="K98" i="2"/>
  <c r="U98" i="2"/>
  <c r="AO98" i="2"/>
  <c r="AP98" i="2"/>
  <c r="AQ98" i="2"/>
  <c r="AV98" i="2"/>
  <c r="AW98" i="2"/>
  <c r="AB99" i="2"/>
  <c r="AC99" i="2"/>
  <c r="AD99" i="2"/>
  <c r="AE99" i="2"/>
  <c r="AI99" i="2"/>
  <c r="AJ99" i="2" s="1"/>
  <c r="AT99" i="2"/>
  <c r="AV99" i="2"/>
  <c r="AW99" i="2"/>
  <c r="E101" i="2"/>
  <c r="AG103" i="2" s="1"/>
  <c r="F101" i="2"/>
  <c r="G101" i="2"/>
  <c r="H101" i="2" s="1"/>
  <c r="AH103" i="2" s="1"/>
  <c r="I101" i="2"/>
  <c r="J101" i="2"/>
  <c r="AO101" i="2"/>
  <c r="AP101" i="2"/>
  <c r="AQ101" i="2"/>
  <c r="AR101" i="2"/>
  <c r="AZ101" i="2"/>
  <c r="BA101" i="2"/>
  <c r="B102" i="2"/>
  <c r="AY103" i="2" s="1"/>
  <c r="K102" i="2"/>
  <c r="U102" i="2"/>
  <c r="AO102" i="2"/>
  <c r="AP102" i="2"/>
  <c r="AQ102" i="2"/>
  <c r="AV102" i="2"/>
  <c r="AB103" i="2"/>
  <c r="AC103" i="2"/>
  <c r="AD103" i="2"/>
  <c r="AE103" i="2"/>
  <c r="AI103" i="2" s="1"/>
  <c r="AT103" i="2"/>
  <c r="AV103" i="2"/>
  <c r="E105" i="2"/>
  <c r="F105" i="2" s="1"/>
  <c r="G105" i="2"/>
  <c r="H105" i="2" s="1"/>
  <c r="AH107" i="2" s="1"/>
  <c r="I105" i="2"/>
  <c r="J105" i="2"/>
  <c r="AO105" i="2"/>
  <c r="AP105" i="2"/>
  <c r="AQ105" i="2"/>
  <c r="AR105" i="2"/>
  <c r="AZ105" i="2"/>
  <c r="BA105" i="2"/>
  <c r="B106" i="2"/>
  <c r="AY107" i="2" s="1"/>
  <c r="K106" i="2"/>
  <c r="U106" i="2"/>
  <c r="AO106" i="2"/>
  <c r="AP106" i="2"/>
  <c r="AQ106" i="2"/>
  <c r="AV106" i="2"/>
  <c r="AB107" i="2"/>
  <c r="AC107" i="2"/>
  <c r="AD107" i="2"/>
  <c r="AE107" i="2"/>
  <c r="AI107" i="2" s="1"/>
  <c r="AT107" i="2"/>
  <c r="AV107" i="2"/>
  <c r="E109" i="2"/>
  <c r="F109" i="2" s="1"/>
  <c r="G109" i="2"/>
  <c r="H109" i="2"/>
  <c r="AH111" i="2" s="1"/>
  <c r="I109" i="2"/>
  <c r="J109" i="2"/>
  <c r="AO109" i="2"/>
  <c r="AP109" i="2"/>
  <c r="AQ109" i="2"/>
  <c r="AR109" i="2"/>
  <c r="AZ109" i="2"/>
  <c r="BA109" i="2"/>
  <c r="B110" i="2"/>
  <c r="AY111" i="2" s="1"/>
  <c r="K110" i="2"/>
  <c r="U110" i="2"/>
  <c r="AO110" i="2"/>
  <c r="AP110" i="2"/>
  <c r="AQ110" i="2"/>
  <c r="AV110" i="2"/>
  <c r="AB111" i="2"/>
  <c r="AC111" i="2"/>
  <c r="AD111" i="2"/>
  <c r="AE111" i="2"/>
  <c r="AW110" i="2" s="1"/>
  <c r="AT111" i="2"/>
  <c r="AV111" i="2"/>
  <c r="E113" i="2"/>
  <c r="F113" i="2"/>
  <c r="AG115" i="2" s="1"/>
  <c r="G113" i="2"/>
  <c r="H113" i="2"/>
  <c r="AH115" i="2" s="1"/>
  <c r="I113" i="2"/>
  <c r="J113" i="2"/>
  <c r="AO113" i="2"/>
  <c r="AP113" i="2"/>
  <c r="AQ113" i="2"/>
  <c r="AR113" i="2"/>
  <c r="AZ113" i="2"/>
  <c r="BA113" i="2"/>
  <c r="B114" i="2"/>
  <c r="AY115" i="2" s="1"/>
  <c r="K114" i="2"/>
  <c r="U114" i="2"/>
  <c r="AO114" i="2"/>
  <c r="AP114" i="2"/>
  <c r="AQ114" i="2"/>
  <c r="AV114" i="2"/>
  <c r="AW114" i="2"/>
  <c r="AB115" i="2"/>
  <c r="AC115" i="2"/>
  <c r="AD115" i="2"/>
  <c r="AE115" i="2"/>
  <c r="AI115" i="2"/>
  <c r="AJ115" i="2" s="1"/>
  <c r="AT115" i="2"/>
  <c r="AV115" i="2"/>
  <c r="AW115" i="2"/>
  <c r="E117" i="2"/>
  <c r="F117" i="2"/>
  <c r="G117" i="2"/>
  <c r="H117" i="2" s="1"/>
  <c r="AH119" i="2" s="1"/>
  <c r="I117" i="2"/>
  <c r="J117" i="2"/>
  <c r="AO117" i="2"/>
  <c r="AP117" i="2"/>
  <c r="AQ117" i="2"/>
  <c r="AR117" i="2"/>
  <c r="AZ117" i="2"/>
  <c r="BA117" i="2"/>
  <c r="B118" i="2"/>
  <c r="AY119" i="2" s="1"/>
  <c r="K118" i="2"/>
  <c r="U118" i="2"/>
  <c r="AO118" i="2"/>
  <c r="AP118" i="2"/>
  <c r="AQ118" i="2"/>
  <c r="AV118" i="2"/>
  <c r="AB119" i="2"/>
  <c r="AC119" i="2"/>
  <c r="AD119" i="2"/>
  <c r="AE119" i="2"/>
  <c r="AI119" i="2" s="1"/>
  <c r="AT119" i="2"/>
  <c r="AV119" i="2"/>
  <c r="E121" i="2"/>
  <c r="F121" i="2" s="1"/>
  <c r="G121" i="2"/>
  <c r="H121" i="2" s="1"/>
  <c r="AH123" i="2" s="1"/>
  <c r="I121" i="2"/>
  <c r="J121" i="2"/>
  <c r="AO121" i="2"/>
  <c r="AP121" i="2"/>
  <c r="AQ121" i="2"/>
  <c r="AR121" i="2"/>
  <c r="AZ121" i="2"/>
  <c r="BA121" i="2"/>
  <c r="B122" i="2"/>
  <c r="AY123" i="2" s="1"/>
  <c r="K122" i="2"/>
  <c r="U122" i="2"/>
  <c r="AO122" i="2"/>
  <c r="AP122" i="2"/>
  <c r="AQ122" i="2"/>
  <c r="AV122" i="2"/>
  <c r="AB123" i="2"/>
  <c r="AC123" i="2"/>
  <c r="AD123" i="2"/>
  <c r="AE123" i="2"/>
  <c r="AI123" i="2" s="1"/>
  <c r="AT123" i="2"/>
  <c r="AV123" i="2"/>
  <c r="E125" i="2"/>
  <c r="F125" i="2" s="1"/>
  <c r="G125" i="2"/>
  <c r="H125" i="2" s="1"/>
  <c r="AH127" i="2" s="1"/>
  <c r="I125" i="2"/>
  <c r="J125" i="2"/>
  <c r="AO125" i="2"/>
  <c r="AP125" i="2"/>
  <c r="AQ125" i="2"/>
  <c r="AR125" i="2"/>
  <c r="AZ125" i="2"/>
  <c r="BA125" i="2"/>
  <c r="B126" i="2"/>
  <c r="AY127" i="2" s="1"/>
  <c r="K126" i="2"/>
  <c r="U126" i="2"/>
  <c r="AO126" i="2"/>
  <c r="AP126" i="2"/>
  <c r="AQ126" i="2"/>
  <c r="AV126" i="2"/>
  <c r="AW126" i="2"/>
  <c r="AB127" i="2"/>
  <c r="AC127" i="2"/>
  <c r="AD127" i="2"/>
  <c r="AE127" i="2"/>
  <c r="AI127" i="2"/>
  <c r="AL127" i="2" s="1"/>
  <c r="AT127" i="2"/>
  <c r="AV127" i="2"/>
  <c r="AW127" i="2"/>
  <c r="E129" i="2"/>
  <c r="F129" i="2" s="1"/>
  <c r="G129" i="2"/>
  <c r="H129" i="2" s="1"/>
  <c r="AH131" i="2" s="1"/>
  <c r="I129" i="2"/>
  <c r="J129" i="2"/>
  <c r="AO129" i="2"/>
  <c r="AP129" i="2"/>
  <c r="AQ129" i="2"/>
  <c r="AR129" i="2"/>
  <c r="AZ129" i="2"/>
  <c r="BA129" i="2"/>
  <c r="B130" i="2"/>
  <c r="K130" i="2"/>
  <c r="U130" i="2"/>
  <c r="AO130" i="2"/>
  <c r="AP130" i="2"/>
  <c r="AQ130" i="2"/>
  <c r="AV130" i="2"/>
  <c r="AW130" i="2"/>
  <c r="AB131" i="2"/>
  <c r="AC131" i="2"/>
  <c r="AD131" i="2"/>
  <c r="AE131" i="2"/>
  <c r="AI131" i="2" s="1"/>
  <c r="AJ131" i="2" s="1"/>
  <c r="AT131" i="2"/>
  <c r="AV131" i="2"/>
  <c r="AW131" i="2"/>
  <c r="E133" i="2"/>
  <c r="F133" i="2"/>
  <c r="AG135" i="2" s="1"/>
  <c r="G133" i="2"/>
  <c r="H133" i="2" s="1"/>
  <c r="AH135" i="2" s="1"/>
  <c r="I133" i="2"/>
  <c r="J133" i="2"/>
  <c r="AO133" i="2"/>
  <c r="AP133" i="2"/>
  <c r="AQ133" i="2"/>
  <c r="AR133" i="2"/>
  <c r="AZ133" i="2"/>
  <c r="BA133" i="2"/>
  <c r="B134" i="2"/>
  <c r="K134" i="2"/>
  <c r="U134" i="2"/>
  <c r="AO134" i="2"/>
  <c r="AP134" i="2"/>
  <c r="AQ134" i="2"/>
  <c r="AV134" i="2"/>
  <c r="AB135" i="2"/>
  <c r="AC135" i="2"/>
  <c r="AD135" i="2"/>
  <c r="AE135" i="2"/>
  <c r="AI135" i="2" s="1"/>
  <c r="AT135" i="2"/>
  <c r="AV135" i="2"/>
  <c r="E137" i="2"/>
  <c r="F137" i="2" s="1"/>
  <c r="G137" i="2"/>
  <c r="H137" i="2" s="1"/>
  <c r="AH139" i="2" s="1"/>
  <c r="I137" i="2"/>
  <c r="J137" i="2"/>
  <c r="AO137" i="2"/>
  <c r="AP137" i="2"/>
  <c r="AQ137" i="2"/>
  <c r="AR137" i="2"/>
  <c r="AZ137" i="2"/>
  <c r="BA137" i="2"/>
  <c r="B138" i="2"/>
  <c r="AY139" i="2" s="1"/>
  <c r="K138" i="2"/>
  <c r="U138" i="2"/>
  <c r="AO138" i="2"/>
  <c r="AP138" i="2"/>
  <c r="AQ138" i="2"/>
  <c r="AV138" i="2"/>
  <c r="AB139" i="2"/>
  <c r="AC139" i="2"/>
  <c r="AD139" i="2"/>
  <c r="AE139" i="2"/>
  <c r="AI139" i="2" s="1"/>
  <c r="AT139" i="2"/>
  <c r="AV139" i="2"/>
  <c r="E141" i="2"/>
  <c r="F141" i="2"/>
  <c r="AG143" i="2" s="1"/>
  <c r="G141" i="2"/>
  <c r="H141" i="2"/>
  <c r="AH143" i="2" s="1"/>
  <c r="I141" i="2"/>
  <c r="J141" i="2"/>
  <c r="AO141" i="2"/>
  <c r="AP141" i="2"/>
  <c r="AQ141" i="2"/>
  <c r="AR141" i="2"/>
  <c r="AZ141" i="2"/>
  <c r="BA141" i="2"/>
  <c r="B142" i="2"/>
  <c r="AY143" i="2" s="1"/>
  <c r="K142" i="2"/>
  <c r="U142" i="2"/>
  <c r="AO142" i="2"/>
  <c r="AP142" i="2"/>
  <c r="AQ142" i="2"/>
  <c r="AV142" i="2"/>
  <c r="AW142" i="2"/>
  <c r="AB143" i="2"/>
  <c r="AC143" i="2"/>
  <c r="AD143" i="2"/>
  <c r="AE143" i="2"/>
  <c r="AI143" i="2"/>
  <c r="AL143" i="2" s="1"/>
  <c r="AT143" i="2"/>
  <c r="AV143" i="2"/>
  <c r="AW143" i="2"/>
  <c r="AV145" i="2"/>
  <c r="AW145" i="2"/>
  <c r="E57" i="2"/>
  <c r="F57" i="2" s="1"/>
  <c r="G57" i="2"/>
  <c r="H57" i="2" s="1"/>
  <c r="AH59" i="2" s="1"/>
  <c r="I57" i="2"/>
  <c r="J57" i="2"/>
  <c r="AO57" i="2"/>
  <c r="AP57" i="2"/>
  <c r="AQ57" i="2"/>
  <c r="AR57" i="2"/>
  <c r="AZ57" i="2"/>
  <c r="BA57" i="2"/>
  <c r="B58" i="2"/>
  <c r="AY59" i="2" s="1"/>
  <c r="K58" i="2"/>
  <c r="U58" i="2"/>
  <c r="AO58" i="2"/>
  <c r="AP58" i="2"/>
  <c r="AQ58" i="2"/>
  <c r="AV58" i="2"/>
  <c r="AB59" i="2"/>
  <c r="AC59" i="2"/>
  <c r="AD59" i="2"/>
  <c r="AE59" i="2"/>
  <c r="AI59" i="2" s="1"/>
  <c r="AT59" i="2"/>
  <c r="AV59" i="2"/>
  <c r="E61" i="2"/>
  <c r="F61" i="2" s="1"/>
  <c r="G61" i="2"/>
  <c r="H61" i="2" s="1"/>
  <c r="AH63" i="2" s="1"/>
  <c r="I61" i="2"/>
  <c r="J61" i="2"/>
  <c r="AO61" i="2"/>
  <c r="AP61" i="2"/>
  <c r="AQ61" i="2"/>
  <c r="AR61" i="2"/>
  <c r="AZ61" i="2"/>
  <c r="BA61" i="2"/>
  <c r="B62" i="2"/>
  <c r="AY63" i="2" s="1"/>
  <c r="K62" i="2"/>
  <c r="U62" i="2"/>
  <c r="AO62" i="2"/>
  <c r="AP62" i="2"/>
  <c r="AQ62" i="2"/>
  <c r="AV62" i="2"/>
  <c r="AB63" i="2"/>
  <c r="AC63" i="2"/>
  <c r="AD63" i="2"/>
  <c r="AE63" i="2"/>
  <c r="AI63" i="2" s="1"/>
  <c r="AT63" i="2"/>
  <c r="AV63" i="2"/>
  <c r="E65" i="2"/>
  <c r="G65" i="2"/>
  <c r="H65" i="2" s="1"/>
  <c r="AH67" i="2" s="1"/>
  <c r="I65" i="2"/>
  <c r="J65" i="2"/>
  <c r="AO65" i="2"/>
  <c r="AP65" i="2"/>
  <c r="AQ65" i="2"/>
  <c r="AR65" i="2"/>
  <c r="AZ65" i="2"/>
  <c r="BA65" i="2"/>
  <c r="B66" i="2"/>
  <c r="AY67" i="2" s="1"/>
  <c r="K66" i="2"/>
  <c r="U66" i="2"/>
  <c r="AO66" i="2"/>
  <c r="AP66" i="2"/>
  <c r="AQ66" i="2"/>
  <c r="AV66" i="2"/>
  <c r="AB67" i="2"/>
  <c r="AC67" i="2"/>
  <c r="AD67" i="2"/>
  <c r="AE67" i="2"/>
  <c r="AI67" i="2" s="1"/>
  <c r="AJ67" i="2" s="1"/>
  <c r="AT67" i="2"/>
  <c r="AV67" i="2"/>
  <c r="E69" i="2"/>
  <c r="F69" i="2"/>
  <c r="G69" i="2"/>
  <c r="H69" i="2" s="1"/>
  <c r="AH71" i="2" s="1"/>
  <c r="I69" i="2"/>
  <c r="J69" i="2"/>
  <c r="AO69" i="2"/>
  <c r="AP69" i="2"/>
  <c r="AQ69" i="2"/>
  <c r="AR69" i="2"/>
  <c r="AZ69" i="2"/>
  <c r="BA69" i="2"/>
  <c r="B70" i="2"/>
  <c r="K70" i="2"/>
  <c r="U70" i="2"/>
  <c r="AO70" i="2"/>
  <c r="AP70" i="2"/>
  <c r="AQ70" i="2"/>
  <c r="AV70" i="2"/>
  <c r="AB71" i="2"/>
  <c r="AC71" i="2"/>
  <c r="AD71" i="2"/>
  <c r="AE71" i="2"/>
  <c r="AI71" i="2" s="1"/>
  <c r="AT71" i="2"/>
  <c r="AV71" i="2"/>
  <c r="E73" i="2"/>
  <c r="F73" i="2" s="1"/>
  <c r="G73" i="2"/>
  <c r="H73" i="2" s="1"/>
  <c r="AH75" i="2" s="1"/>
  <c r="I73" i="2"/>
  <c r="J73" i="2"/>
  <c r="AO73" i="2"/>
  <c r="AP73" i="2"/>
  <c r="AQ73" i="2"/>
  <c r="AR73" i="2"/>
  <c r="AZ73" i="2"/>
  <c r="BA73" i="2"/>
  <c r="B74" i="2"/>
  <c r="AY75" i="2" s="1"/>
  <c r="K74" i="2"/>
  <c r="U74" i="2"/>
  <c r="AO74" i="2"/>
  <c r="AP74" i="2"/>
  <c r="AQ74" i="2"/>
  <c r="AV74" i="2"/>
  <c r="AB75" i="2"/>
  <c r="AC75" i="2"/>
  <c r="AD75" i="2"/>
  <c r="AE75" i="2"/>
  <c r="AI75" i="2" s="1"/>
  <c r="AT75" i="2"/>
  <c r="AV75" i="2"/>
  <c r="E77" i="2"/>
  <c r="F77" i="2" s="1"/>
  <c r="G77" i="2"/>
  <c r="H77" i="2" s="1"/>
  <c r="AH79" i="2" s="1"/>
  <c r="I77" i="2"/>
  <c r="J77" i="2"/>
  <c r="AO77" i="2"/>
  <c r="AP77" i="2"/>
  <c r="AQ77" i="2"/>
  <c r="AR77" i="2"/>
  <c r="AZ77" i="2"/>
  <c r="BA77" i="2"/>
  <c r="B78" i="2"/>
  <c r="AY79" i="2" s="1"/>
  <c r="K78" i="2"/>
  <c r="U78" i="2"/>
  <c r="AO78" i="2"/>
  <c r="AP78" i="2"/>
  <c r="AQ78" i="2"/>
  <c r="AV78" i="2"/>
  <c r="AB79" i="2"/>
  <c r="AC79" i="2"/>
  <c r="AD79" i="2"/>
  <c r="AE79" i="2"/>
  <c r="AW78" i="2" s="1"/>
  <c r="AT79" i="2"/>
  <c r="AV79" i="2"/>
  <c r="E81" i="2"/>
  <c r="G81" i="2"/>
  <c r="H81" i="2" s="1"/>
  <c r="AH83" i="2" s="1"/>
  <c r="I81" i="2"/>
  <c r="J81" i="2"/>
  <c r="AO81" i="2"/>
  <c r="AP81" i="2"/>
  <c r="AQ81" i="2"/>
  <c r="AR81" i="2"/>
  <c r="AZ81" i="2"/>
  <c r="BA81" i="2"/>
  <c r="B82" i="2"/>
  <c r="AY83" i="2" s="1"/>
  <c r="K82" i="2"/>
  <c r="U82" i="2"/>
  <c r="AO82" i="2"/>
  <c r="AP82" i="2"/>
  <c r="AQ82" i="2"/>
  <c r="AV82" i="2"/>
  <c r="AB83" i="2"/>
  <c r="AC83" i="2"/>
  <c r="AD83" i="2"/>
  <c r="AE83" i="2"/>
  <c r="AW82" i="2" s="1"/>
  <c r="AT83" i="2"/>
  <c r="AV83" i="2"/>
  <c r="E85" i="2"/>
  <c r="G85" i="2"/>
  <c r="H85" i="2" s="1"/>
  <c r="AH87" i="2" s="1"/>
  <c r="I85" i="2"/>
  <c r="J85" i="2"/>
  <c r="AO85" i="2"/>
  <c r="AP85" i="2"/>
  <c r="AQ85" i="2"/>
  <c r="AR85" i="2"/>
  <c r="AZ85" i="2"/>
  <c r="BA85" i="2"/>
  <c r="B86" i="2"/>
  <c r="K86" i="2"/>
  <c r="U86" i="2"/>
  <c r="AO86" i="2"/>
  <c r="AP86" i="2"/>
  <c r="AQ86" i="2"/>
  <c r="AV86" i="2"/>
  <c r="AW86" i="2"/>
  <c r="AB87" i="2"/>
  <c r="AC87" i="2"/>
  <c r="AD87" i="2"/>
  <c r="AE87" i="2"/>
  <c r="AI87" i="2" s="1"/>
  <c r="AT87" i="2"/>
  <c r="AV87" i="2"/>
  <c r="AW87" i="2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Q1" i="3"/>
  <c r="T1" i="1"/>
  <c r="E129" i="3"/>
  <c r="F129" i="3"/>
  <c r="M131" i="3" s="1"/>
  <c r="N131" i="3" s="1"/>
  <c r="D99" i="11" s="1"/>
  <c r="G129" i="3"/>
  <c r="H129" i="3"/>
  <c r="AF129" i="3"/>
  <c r="AH129" i="3"/>
  <c r="AJ129" i="3"/>
  <c r="AL129" i="3"/>
  <c r="AS129" i="3"/>
  <c r="AT129" i="3"/>
  <c r="AU129" i="3"/>
  <c r="AV129" i="3"/>
  <c r="B130" i="3"/>
  <c r="AQ131" i="3" s="1"/>
  <c r="D130" i="3"/>
  <c r="AR131" i="3" s="1"/>
  <c r="L130" i="3"/>
  <c r="AF130" i="3"/>
  <c r="AH130" i="3"/>
  <c r="AJ130" i="3"/>
  <c r="AN130" i="3"/>
  <c r="S131" i="3"/>
  <c r="T131" i="3"/>
  <c r="U131" i="3"/>
  <c r="V131" i="3"/>
  <c r="W131" i="3"/>
  <c r="X131" i="3"/>
  <c r="Y131" i="3"/>
  <c r="Z131" i="3" s="1"/>
  <c r="AN131" i="3"/>
  <c r="AO131" i="3"/>
  <c r="E133" i="3"/>
  <c r="W135" i="3" s="1"/>
  <c r="F133" i="3"/>
  <c r="M135" i="3" s="1"/>
  <c r="N135" i="3" s="1"/>
  <c r="D100" i="11" s="1"/>
  <c r="G133" i="3"/>
  <c r="H133" i="3"/>
  <c r="AF133" i="3"/>
  <c r="AH133" i="3"/>
  <c r="AJ133" i="3"/>
  <c r="AL133" i="3"/>
  <c r="AS133" i="3"/>
  <c r="AT133" i="3"/>
  <c r="AU133" i="3"/>
  <c r="AV133" i="3"/>
  <c r="B134" i="3"/>
  <c r="AQ135" i="3" s="1"/>
  <c r="D134" i="3"/>
  <c r="L134" i="3"/>
  <c r="AF134" i="3"/>
  <c r="AH134" i="3"/>
  <c r="AJ134" i="3"/>
  <c r="AN134" i="3"/>
  <c r="S135" i="3"/>
  <c r="T135" i="3"/>
  <c r="U135" i="3"/>
  <c r="V135" i="3"/>
  <c r="X135" i="3"/>
  <c r="AN135" i="3"/>
  <c r="E137" i="3"/>
  <c r="W139" i="3" s="1"/>
  <c r="F137" i="3"/>
  <c r="G137" i="3"/>
  <c r="H137" i="3"/>
  <c r="AF137" i="3"/>
  <c r="AH137" i="3"/>
  <c r="AJ137" i="3"/>
  <c r="AL137" i="3"/>
  <c r="AS137" i="3"/>
  <c r="AT137" i="3"/>
  <c r="AU137" i="3"/>
  <c r="AV137" i="3"/>
  <c r="B138" i="3"/>
  <c r="AQ139" i="3" s="1"/>
  <c r="D138" i="3"/>
  <c r="L138" i="3"/>
  <c r="AF138" i="3"/>
  <c r="AH138" i="3"/>
  <c r="AJ138" i="3"/>
  <c r="AN138" i="3"/>
  <c r="S139" i="3"/>
  <c r="T139" i="3"/>
  <c r="U139" i="3"/>
  <c r="V139" i="3"/>
  <c r="X139" i="3"/>
  <c r="O139" i="3" s="1"/>
  <c r="P139" i="3" s="1"/>
  <c r="AN139" i="3"/>
  <c r="AN141" i="3"/>
  <c r="AO141" i="3"/>
  <c r="E93" i="3"/>
  <c r="W95" i="3" s="1"/>
  <c r="F93" i="3"/>
  <c r="G93" i="3"/>
  <c r="H93" i="3"/>
  <c r="AF93" i="3"/>
  <c r="AH93" i="3"/>
  <c r="AJ93" i="3"/>
  <c r="AL93" i="3"/>
  <c r="AS93" i="3"/>
  <c r="AT93" i="3"/>
  <c r="AU93" i="3"/>
  <c r="AV93" i="3"/>
  <c r="B94" i="3"/>
  <c r="AQ95" i="3" s="1"/>
  <c r="D94" i="3"/>
  <c r="L94" i="3"/>
  <c r="AF94" i="3"/>
  <c r="AH94" i="3"/>
  <c r="AJ94" i="3"/>
  <c r="AN94" i="3"/>
  <c r="S95" i="3"/>
  <c r="T95" i="3"/>
  <c r="U95" i="3"/>
  <c r="V95" i="3"/>
  <c r="X95" i="3"/>
  <c r="AN95" i="3"/>
  <c r="E97" i="3"/>
  <c r="F97" i="3"/>
  <c r="G97" i="3"/>
  <c r="H97" i="3"/>
  <c r="AF97" i="3"/>
  <c r="AH97" i="3"/>
  <c r="AJ97" i="3"/>
  <c r="AL97" i="3"/>
  <c r="AS97" i="3"/>
  <c r="AT97" i="3"/>
  <c r="AU97" i="3"/>
  <c r="AV97" i="3"/>
  <c r="B98" i="3"/>
  <c r="AQ99" i="3" s="1"/>
  <c r="D98" i="3"/>
  <c r="L98" i="3"/>
  <c r="AF98" i="3"/>
  <c r="AH98" i="3"/>
  <c r="AJ98" i="3"/>
  <c r="AN98" i="3"/>
  <c r="S99" i="3"/>
  <c r="T99" i="3"/>
  <c r="U99" i="3"/>
  <c r="V99" i="3"/>
  <c r="W99" i="3"/>
  <c r="X99" i="3"/>
  <c r="Y99" i="3"/>
  <c r="Z99" i="3" s="1"/>
  <c r="AN99" i="3"/>
  <c r="E101" i="3"/>
  <c r="F101" i="3"/>
  <c r="G101" i="3"/>
  <c r="H101" i="3"/>
  <c r="AF101" i="3"/>
  <c r="AH101" i="3"/>
  <c r="AJ101" i="3"/>
  <c r="AL101" i="3"/>
  <c r="AS101" i="3"/>
  <c r="AT101" i="3"/>
  <c r="AU101" i="3"/>
  <c r="AV101" i="3"/>
  <c r="B102" i="3"/>
  <c r="D102" i="3"/>
  <c r="L102" i="3"/>
  <c r="AF102" i="3"/>
  <c r="AH102" i="3"/>
  <c r="AJ102" i="3"/>
  <c r="AN102" i="3"/>
  <c r="S103" i="3"/>
  <c r="T103" i="3"/>
  <c r="U103" i="3"/>
  <c r="V103" i="3"/>
  <c r="W103" i="3"/>
  <c r="X103" i="3"/>
  <c r="Y103" i="3"/>
  <c r="Z103" i="3" s="1"/>
  <c r="AN103" i="3"/>
  <c r="E105" i="3"/>
  <c r="W107" i="3" s="1"/>
  <c r="F105" i="3"/>
  <c r="G105" i="3"/>
  <c r="H105" i="3"/>
  <c r="AF105" i="3"/>
  <c r="AH105" i="3"/>
  <c r="AJ105" i="3"/>
  <c r="AL105" i="3"/>
  <c r="AS105" i="3"/>
  <c r="AT105" i="3"/>
  <c r="AU105" i="3"/>
  <c r="AV105" i="3"/>
  <c r="B106" i="3"/>
  <c r="AQ107" i="3" s="1"/>
  <c r="D106" i="3"/>
  <c r="L106" i="3"/>
  <c r="AF106" i="3"/>
  <c r="AH106" i="3"/>
  <c r="AJ106" i="3"/>
  <c r="AN106" i="3"/>
  <c r="S107" i="3"/>
  <c r="T107" i="3"/>
  <c r="U107" i="3"/>
  <c r="V107" i="3"/>
  <c r="X107" i="3"/>
  <c r="O107" i="3" s="1"/>
  <c r="P107" i="3" s="1"/>
  <c r="AN107" i="3"/>
  <c r="E109" i="3"/>
  <c r="W111" i="3" s="1"/>
  <c r="F109" i="3"/>
  <c r="G109" i="3"/>
  <c r="H109" i="3"/>
  <c r="AF109" i="3"/>
  <c r="AH109" i="3"/>
  <c r="AJ109" i="3"/>
  <c r="AL109" i="3"/>
  <c r="AS109" i="3"/>
  <c r="AT109" i="3"/>
  <c r="AU109" i="3"/>
  <c r="AV109" i="3"/>
  <c r="B110" i="3"/>
  <c r="AQ111" i="3" s="1"/>
  <c r="D110" i="3"/>
  <c r="L110" i="3"/>
  <c r="AF110" i="3"/>
  <c r="AH110" i="3"/>
  <c r="AJ110" i="3"/>
  <c r="AN110" i="3"/>
  <c r="S111" i="3"/>
  <c r="T111" i="3"/>
  <c r="U111" i="3"/>
  <c r="V111" i="3"/>
  <c r="X111" i="3"/>
  <c r="AN111" i="3"/>
  <c r="E113" i="3"/>
  <c r="Y115" i="3" s="1"/>
  <c r="F113" i="3"/>
  <c r="G113" i="3"/>
  <c r="H113" i="3"/>
  <c r="AF113" i="3"/>
  <c r="AH113" i="3"/>
  <c r="AJ113" i="3"/>
  <c r="AL113" i="3"/>
  <c r="AS113" i="3"/>
  <c r="AT113" i="3"/>
  <c r="AU113" i="3"/>
  <c r="AV113" i="3"/>
  <c r="B114" i="3"/>
  <c r="D114" i="3"/>
  <c r="L114" i="3"/>
  <c r="AF114" i="3"/>
  <c r="AH114" i="3"/>
  <c r="AJ114" i="3"/>
  <c r="AN114" i="3"/>
  <c r="S115" i="3"/>
  <c r="T115" i="3"/>
  <c r="U115" i="3"/>
  <c r="V115" i="3"/>
  <c r="X115" i="3"/>
  <c r="AN115" i="3"/>
  <c r="E117" i="3"/>
  <c r="F117" i="3"/>
  <c r="G117" i="3"/>
  <c r="H117" i="3"/>
  <c r="AF117" i="3"/>
  <c r="AH117" i="3"/>
  <c r="AJ117" i="3"/>
  <c r="AL117" i="3"/>
  <c r="AS117" i="3"/>
  <c r="AT117" i="3"/>
  <c r="AU117" i="3"/>
  <c r="AV117" i="3"/>
  <c r="B118" i="3"/>
  <c r="D118" i="3"/>
  <c r="L118" i="3"/>
  <c r="AF118" i="3"/>
  <c r="AH118" i="3"/>
  <c r="AJ118" i="3"/>
  <c r="AN118" i="3"/>
  <c r="S119" i="3"/>
  <c r="T119" i="3"/>
  <c r="U119" i="3"/>
  <c r="V119" i="3"/>
  <c r="W119" i="3"/>
  <c r="X119" i="3"/>
  <c r="Y119" i="3"/>
  <c r="Z119" i="3" s="1"/>
  <c r="AN119" i="3"/>
  <c r="AO119" i="3"/>
  <c r="E121" i="3"/>
  <c r="W123" i="3" s="1"/>
  <c r="F121" i="3"/>
  <c r="G121" i="3"/>
  <c r="H121" i="3"/>
  <c r="AF121" i="3"/>
  <c r="AH121" i="3"/>
  <c r="AJ121" i="3"/>
  <c r="AL121" i="3"/>
  <c r="AS121" i="3"/>
  <c r="AT121" i="3"/>
  <c r="AU121" i="3"/>
  <c r="AV121" i="3"/>
  <c r="B122" i="3"/>
  <c r="AQ123" i="3" s="1"/>
  <c r="D122" i="3"/>
  <c r="L122" i="3"/>
  <c r="AF122" i="3"/>
  <c r="AH122" i="3"/>
  <c r="AJ122" i="3"/>
  <c r="AN122" i="3"/>
  <c r="S123" i="3"/>
  <c r="T123" i="3"/>
  <c r="U123" i="3"/>
  <c r="V123" i="3"/>
  <c r="X123" i="3"/>
  <c r="Y123" i="3"/>
  <c r="Z123" i="3" s="1"/>
  <c r="AN123" i="3"/>
  <c r="E125" i="3"/>
  <c r="W127" i="3" s="1"/>
  <c r="F125" i="3"/>
  <c r="G125" i="3"/>
  <c r="H125" i="3"/>
  <c r="AF125" i="3"/>
  <c r="AH125" i="3"/>
  <c r="AJ125" i="3"/>
  <c r="AL125" i="3"/>
  <c r="AS125" i="3"/>
  <c r="AT125" i="3"/>
  <c r="AU125" i="3"/>
  <c r="AV125" i="3"/>
  <c r="B126" i="3"/>
  <c r="AQ127" i="3" s="1"/>
  <c r="D126" i="3"/>
  <c r="L126" i="3"/>
  <c r="AF126" i="3"/>
  <c r="AH126" i="3"/>
  <c r="AJ126" i="3"/>
  <c r="AN126" i="3"/>
  <c r="S127" i="3"/>
  <c r="T127" i="3"/>
  <c r="U127" i="3"/>
  <c r="V127" i="3"/>
  <c r="X127" i="3"/>
  <c r="Y127" i="3"/>
  <c r="Z127" i="3" s="1"/>
  <c r="AN127" i="3"/>
  <c r="AO127" i="3"/>
  <c r="E57" i="3"/>
  <c r="Y59" i="3" s="1"/>
  <c r="F57" i="3"/>
  <c r="G57" i="3"/>
  <c r="H57" i="3"/>
  <c r="AF57" i="3"/>
  <c r="AH57" i="3"/>
  <c r="AJ57" i="3"/>
  <c r="AL57" i="3"/>
  <c r="AS57" i="3"/>
  <c r="AT57" i="3"/>
  <c r="AU57" i="3"/>
  <c r="AV57" i="3"/>
  <c r="B58" i="3"/>
  <c r="D58" i="3"/>
  <c r="AR59" i="3" s="1"/>
  <c r="L58" i="3"/>
  <c r="AF58" i="3"/>
  <c r="AH58" i="3"/>
  <c r="AJ58" i="3"/>
  <c r="AN58" i="3"/>
  <c r="O59" i="3"/>
  <c r="P59" i="3" s="1"/>
  <c r="S59" i="3"/>
  <c r="T59" i="3"/>
  <c r="U59" i="3"/>
  <c r="V59" i="3"/>
  <c r="W59" i="3"/>
  <c r="X59" i="3"/>
  <c r="AN59" i="3"/>
  <c r="E61" i="3"/>
  <c r="Y63" i="3" s="1"/>
  <c r="F61" i="3"/>
  <c r="G61" i="3"/>
  <c r="H61" i="3"/>
  <c r="AF61" i="3"/>
  <c r="AH61" i="3"/>
  <c r="AJ61" i="3"/>
  <c r="AL61" i="3"/>
  <c r="AS61" i="3"/>
  <c r="AT61" i="3"/>
  <c r="AU61" i="3"/>
  <c r="AV61" i="3"/>
  <c r="B62" i="3"/>
  <c r="D62" i="3"/>
  <c r="L62" i="3"/>
  <c r="AF62" i="3"/>
  <c r="AH62" i="3"/>
  <c r="AJ62" i="3"/>
  <c r="AN62" i="3"/>
  <c r="S63" i="3"/>
  <c r="T63" i="3"/>
  <c r="U63" i="3"/>
  <c r="V63" i="3"/>
  <c r="W63" i="3"/>
  <c r="X63" i="3"/>
  <c r="O63" i="3" s="1"/>
  <c r="P63" i="3" s="1"/>
  <c r="AN63" i="3"/>
  <c r="E65" i="3"/>
  <c r="Y67" i="3" s="1"/>
  <c r="F65" i="3"/>
  <c r="G65" i="3"/>
  <c r="H65" i="3"/>
  <c r="AF65" i="3"/>
  <c r="AH65" i="3"/>
  <c r="AJ65" i="3"/>
  <c r="AL65" i="3"/>
  <c r="AS65" i="3"/>
  <c r="AT65" i="3"/>
  <c r="AU65" i="3"/>
  <c r="AV65" i="3"/>
  <c r="B66" i="3"/>
  <c r="D66" i="3"/>
  <c r="L66" i="3"/>
  <c r="AF66" i="3"/>
  <c r="AH66" i="3"/>
  <c r="AJ66" i="3"/>
  <c r="AN66" i="3"/>
  <c r="S67" i="3"/>
  <c r="T67" i="3"/>
  <c r="U67" i="3"/>
  <c r="V67" i="3"/>
  <c r="W67" i="3"/>
  <c r="X67" i="3"/>
  <c r="AN67" i="3"/>
  <c r="E69" i="3"/>
  <c r="Y71" i="3" s="1"/>
  <c r="F69" i="3"/>
  <c r="G69" i="3"/>
  <c r="H69" i="3"/>
  <c r="AF69" i="3"/>
  <c r="AH69" i="3"/>
  <c r="AJ69" i="3"/>
  <c r="AL69" i="3"/>
  <c r="AS69" i="3"/>
  <c r="AT69" i="3"/>
  <c r="AU69" i="3"/>
  <c r="AV69" i="3"/>
  <c r="B70" i="3"/>
  <c r="D70" i="3"/>
  <c r="L70" i="3"/>
  <c r="AF70" i="3"/>
  <c r="AH70" i="3"/>
  <c r="AJ70" i="3"/>
  <c r="AN70" i="3"/>
  <c r="S71" i="3"/>
  <c r="T71" i="3"/>
  <c r="U71" i="3"/>
  <c r="V71" i="3"/>
  <c r="X71" i="3"/>
  <c r="AN71" i="3"/>
  <c r="E73" i="3"/>
  <c r="Y75" i="3" s="1"/>
  <c r="F73" i="3"/>
  <c r="G73" i="3"/>
  <c r="H73" i="3"/>
  <c r="AF73" i="3"/>
  <c r="AH73" i="3"/>
  <c r="AJ73" i="3"/>
  <c r="AL73" i="3"/>
  <c r="AS73" i="3"/>
  <c r="AT73" i="3"/>
  <c r="AU73" i="3"/>
  <c r="AV73" i="3"/>
  <c r="B74" i="3"/>
  <c r="D74" i="3"/>
  <c r="L74" i="3"/>
  <c r="AF74" i="3"/>
  <c r="AH74" i="3"/>
  <c r="AJ74" i="3"/>
  <c r="AN74" i="3"/>
  <c r="S75" i="3"/>
  <c r="T75" i="3"/>
  <c r="U75" i="3"/>
  <c r="V75" i="3"/>
  <c r="W75" i="3"/>
  <c r="X75" i="3"/>
  <c r="AN75" i="3"/>
  <c r="E77" i="3"/>
  <c r="Y79" i="3" s="1"/>
  <c r="F77" i="3"/>
  <c r="G77" i="3"/>
  <c r="H77" i="3"/>
  <c r="AF77" i="3"/>
  <c r="AH77" i="3"/>
  <c r="AJ77" i="3"/>
  <c r="AL77" i="3"/>
  <c r="AS77" i="3"/>
  <c r="AT77" i="3"/>
  <c r="AU77" i="3"/>
  <c r="AV77" i="3"/>
  <c r="B78" i="3"/>
  <c r="D78" i="3"/>
  <c r="L78" i="3"/>
  <c r="AF78" i="3"/>
  <c r="AH78" i="3"/>
  <c r="AJ78" i="3"/>
  <c r="AN78" i="3"/>
  <c r="S79" i="3"/>
  <c r="T79" i="3"/>
  <c r="U79" i="3"/>
  <c r="V79" i="3"/>
  <c r="W79" i="3"/>
  <c r="X79" i="3"/>
  <c r="AN79" i="3"/>
  <c r="E81" i="3"/>
  <c r="Y83" i="3" s="1"/>
  <c r="F81" i="3"/>
  <c r="G81" i="3"/>
  <c r="H81" i="3"/>
  <c r="AF81" i="3"/>
  <c r="AH81" i="3"/>
  <c r="AJ81" i="3"/>
  <c r="AL81" i="3"/>
  <c r="AS81" i="3"/>
  <c r="AT81" i="3"/>
  <c r="AU81" i="3"/>
  <c r="AV81" i="3"/>
  <c r="B82" i="3"/>
  <c r="D82" i="3"/>
  <c r="L82" i="3"/>
  <c r="AF82" i="3"/>
  <c r="AH82" i="3"/>
  <c r="AJ82" i="3"/>
  <c r="AN82" i="3"/>
  <c r="S83" i="3"/>
  <c r="T83" i="3"/>
  <c r="U83" i="3"/>
  <c r="V83" i="3"/>
  <c r="W83" i="3"/>
  <c r="X83" i="3"/>
  <c r="AN83" i="3"/>
  <c r="E85" i="3"/>
  <c r="Y87" i="3" s="1"/>
  <c r="F85" i="3"/>
  <c r="G85" i="3"/>
  <c r="H85" i="3"/>
  <c r="AF85" i="3"/>
  <c r="AH85" i="3"/>
  <c r="AJ85" i="3"/>
  <c r="AL85" i="3"/>
  <c r="AS85" i="3"/>
  <c r="AT85" i="3"/>
  <c r="AU85" i="3"/>
  <c r="AV85" i="3"/>
  <c r="B86" i="3"/>
  <c r="D86" i="3"/>
  <c r="L86" i="3"/>
  <c r="AF86" i="3"/>
  <c r="AH86" i="3"/>
  <c r="AJ86" i="3"/>
  <c r="AN86" i="3"/>
  <c r="S87" i="3"/>
  <c r="T87" i="3"/>
  <c r="U87" i="3"/>
  <c r="V87" i="3"/>
  <c r="W87" i="3"/>
  <c r="X87" i="3"/>
  <c r="AN87" i="3"/>
  <c r="E89" i="3"/>
  <c r="Y91" i="3" s="1"/>
  <c r="F89" i="3"/>
  <c r="G89" i="3"/>
  <c r="H89" i="3"/>
  <c r="AF89" i="3"/>
  <c r="AH89" i="3"/>
  <c r="AJ89" i="3"/>
  <c r="AL89" i="3"/>
  <c r="AS89" i="3"/>
  <c r="AT89" i="3"/>
  <c r="AU89" i="3"/>
  <c r="AV89" i="3"/>
  <c r="B90" i="3"/>
  <c r="D90" i="3"/>
  <c r="L90" i="3"/>
  <c r="AF90" i="3"/>
  <c r="AH90" i="3"/>
  <c r="AJ90" i="3"/>
  <c r="AN90" i="3"/>
  <c r="S91" i="3"/>
  <c r="T91" i="3"/>
  <c r="U91" i="3"/>
  <c r="V91" i="3"/>
  <c r="W91" i="3"/>
  <c r="X91" i="3"/>
  <c r="AN91" i="3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F100" i="1"/>
  <c r="G100" i="1" s="1"/>
  <c r="H100" i="1"/>
  <c r="I100" i="1" s="1"/>
  <c r="AD102" i="1" s="1"/>
  <c r="AK100" i="1"/>
  <c r="AM100" i="1"/>
  <c r="AO100" i="1"/>
  <c r="AQ100" i="1"/>
  <c r="BA100" i="1"/>
  <c r="BB100" i="1"/>
  <c r="BC100" i="1"/>
  <c r="BD100" i="1"/>
  <c r="B101" i="1"/>
  <c r="D101" i="1"/>
  <c r="AZ102" i="1" s="1"/>
  <c r="J101" i="1"/>
  <c r="AK101" i="1"/>
  <c r="AM101" i="1"/>
  <c r="AO101" i="1"/>
  <c r="AV101" i="1"/>
  <c r="Q102" i="1"/>
  <c r="D61" i="11" s="1"/>
  <c r="V102" i="1"/>
  <c r="W102" i="1"/>
  <c r="X102" i="1"/>
  <c r="Y102" i="1"/>
  <c r="Z102" i="1"/>
  <c r="AA102" i="1"/>
  <c r="AW101" i="1" s="1"/>
  <c r="AT102" i="1"/>
  <c r="AV102" i="1"/>
  <c r="AW102" i="1"/>
  <c r="F104" i="1"/>
  <c r="G104" i="1" s="1"/>
  <c r="H104" i="1"/>
  <c r="I104" i="1" s="1"/>
  <c r="AD106" i="1" s="1"/>
  <c r="AK104" i="1"/>
  <c r="AM104" i="1"/>
  <c r="AO104" i="1"/>
  <c r="AQ104" i="1"/>
  <c r="BA104" i="1"/>
  <c r="BB104" i="1"/>
  <c r="BC104" i="1"/>
  <c r="BD104" i="1"/>
  <c r="B105" i="1"/>
  <c r="AY106" i="1" s="1"/>
  <c r="D105" i="1"/>
  <c r="J105" i="1"/>
  <c r="AK105" i="1"/>
  <c r="AM105" i="1"/>
  <c r="AO105" i="1"/>
  <c r="AV105" i="1"/>
  <c r="Q106" i="1"/>
  <c r="D62" i="11" s="1"/>
  <c r="V106" i="1"/>
  <c r="W106" i="1"/>
  <c r="X106" i="1"/>
  <c r="Y106" i="1"/>
  <c r="Z106" i="1"/>
  <c r="AA106" i="1"/>
  <c r="AE106" i="1" s="1"/>
  <c r="AT106" i="1"/>
  <c r="AV106" i="1"/>
  <c r="F108" i="1"/>
  <c r="G108" i="1"/>
  <c r="H108" i="1"/>
  <c r="I108" i="1" s="1"/>
  <c r="AD110" i="1" s="1"/>
  <c r="AK108" i="1"/>
  <c r="AM108" i="1"/>
  <c r="AO108" i="1"/>
  <c r="AQ108" i="1"/>
  <c r="BA108" i="1"/>
  <c r="BB108" i="1"/>
  <c r="BC108" i="1"/>
  <c r="BD108" i="1"/>
  <c r="B109" i="1"/>
  <c r="AY110" i="1" s="1"/>
  <c r="D109" i="1"/>
  <c r="AZ110" i="1" s="1"/>
  <c r="J109" i="1"/>
  <c r="AK109" i="1"/>
  <c r="AM109" i="1"/>
  <c r="AO109" i="1"/>
  <c r="AV109" i="1"/>
  <c r="Q110" i="1"/>
  <c r="D63" i="11" s="1"/>
  <c r="V110" i="1"/>
  <c r="W110" i="1"/>
  <c r="X110" i="1"/>
  <c r="Y110" i="1"/>
  <c r="Z110" i="1"/>
  <c r="AA110" i="1"/>
  <c r="AW109" i="1" s="1"/>
  <c r="AT110" i="1"/>
  <c r="AV110" i="1"/>
  <c r="F112" i="1"/>
  <c r="G112" i="1" s="1"/>
  <c r="H112" i="1"/>
  <c r="I112" i="1" s="1"/>
  <c r="AD114" i="1" s="1"/>
  <c r="AK112" i="1"/>
  <c r="AM112" i="1"/>
  <c r="AO112" i="1"/>
  <c r="AQ112" i="1"/>
  <c r="BA112" i="1"/>
  <c r="BB112" i="1"/>
  <c r="BC112" i="1"/>
  <c r="BD112" i="1"/>
  <c r="B113" i="1"/>
  <c r="AY114" i="1" s="1"/>
  <c r="D113" i="1"/>
  <c r="AZ114" i="1" s="1"/>
  <c r="J113" i="1"/>
  <c r="AK113" i="1"/>
  <c r="AM113" i="1"/>
  <c r="AO113" i="1"/>
  <c r="AV113" i="1"/>
  <c r="Q114" i="1"/>
  <c r="D64" i="11" s="1"/>
  <c r="V114" i="1"/>
  <c r="W114" i="1"/>
  <c r="X114" i="1"/>
  <c r="Y114" i="1"/>
  <c r="Z114" i="1"/>
  <c r="AA114" i="1"/>
  <c r="AE114" i="1" s="1"/>
  <c r="AT114" i="1"/>
  <c r="AV114" i="1"/>
  <c r="F116" i="1"/>
  <c r="G116" i="1" s="1"/>
  <c r="H116" i="1"/>
  <c r="I116" i="1" s="1"/>
  <c r="AD118" i="1" s="1"/>
  <c r="AK116" i="1"/>
  <c r="AM116" i="1"/>
  <c r="AO116" i="1"/>
  <c r="AQ116" i="1"/>
  <c r="BA116" i="1"/>
  <c r="BB116" i="1"/>
  <c r="BC116" i="1"/>
  <c r="BD116" i="1"/>
  <c r="B117" i="1"/>
  <c r="D117" i="1"/>
  <c r="AZ118" i="1" s="1"/>
  <c r="J117" i="1"/>
  <c r="AK117" i="1"/>
  <c r="AM117" i="1"/>
  <c r="AO117" i="1"/>
  <c r="AV117" i="1"/>
  <c r="Q118" i="1"/>
  <c r="D65" i="11" s="1"/>
  <c r="V118" i="1"/>
  <c r="W118" i="1"/>
  <c r="X118" i="1"/>
  <c r="Y118" i="1"/>
  <c r="Z118" i="1"/>
  <c r="AA118" i="1"/>
  <c r="AW117" i="1" s="1"/>
  <c r="AT118" i="1"/>
  <c r="AV118" i="1"/>
  <c r="F120" i="1"/>
  <c r="G120" i="1" s="1"/>
  <c r="H120" i="1"/>
  <c r="I120" i="1" s="1"/>
  <c r="AD122" i="1" s="1"/>
  <c r="AK120" i="1"/>
  <c r="AM120" i="1"/>
  <c r="AO120" i="1"/>
  <c r="AQ120" i="1"/>
  <c r="BA120" i="1"/>
  <c r="BB120" i="1"/>
  <c r="BC120" i="1"/>
  <c r="BD120" i="1"/>
  <c r="B121" i="1"/>
  <c r="AY122" i="1" s="1"/>
  <c r="D121" i="1"/>
  <c r="J121" i="1"/>
  <c r="AK121" i="1"/>
  <c r="AM121" i="1"/>
  <c r="AO121" i="1"/>
  <c r="AV121" i="1"/>
  <c r="Q122" i="1"/>
  <c r="D66" i="11" s="1"/>
  <c r="V122" i="1"/>
  <c r="W122" i="1"/>
  <c r="X122" i="1"/>
  <c r="Y122" i="1"/>
  <c r="Z122" i="1"/>
  <c r="AA122" i="1"/>
  <c r="AE122" i="1" s="1"/>
  <c r="AT122" i="1"/>
  <c r="AV122" i="1"/>
  <c r="F124" i="1"/>
  <c r="G124" i="1" s="1"/>
  <c r="H124" i="1"/>
  <c r="I124" i="1" s="1"/>
  <c r="AD126" i="1" s="1"/>
  <c r="AK124" i="1"/>
  <c r="AM124" i="1"/>
  <c r="AO124" i="1"/>
  <c r="AQ124" i="1"/>
  <c r="BA124" i="1"/>
  <c r="BB124" i="1"/>
  <c r="BC124" i="1"/>
  <c r="BD124" i="1"/>
  <c r="B125" i="1"/>
  <c r="AY126" i="1" s="1"/>
  <c r="D125" i="1"/>
  <c r="J125" i="1"/>
  <c r="AK125" i="1"/>
  <c r="AM125" i="1"/>
  <c r="AO125" i="1"/>
  <c r="AV125" i="1"/>
  <c r="Q126" i="1"/>
  <c r="D67" i="11" s="1"/>
  <c r="V126" i="1"/>
  <c r="W126" i="1"/>
  <c r="X126" i="1"/>
  <c r="Y126" i="1"/>
  <c r="Z126" i="1"/>
  <c r="AA126" i="1"/>
  <c r="AW125" i="1" s="1"/>
  <c r="AT126" i="1"/>
  <c r="AV126" i="1"/>
  <c r="F128" i="1"/>
  <c r="G128" i="1" s="1"/>
  <c r="H128" i="1"/>
  <c r="I128" i="1" s="1"/>
  <c r="AD130" i="1" s="1"/>
  <c r="AK128" i="1"/>
  <c r="AM128" i="1"/>
  <c r="AO128" i="1"/>
  <c r="AQ128" i="1"/>
  <c r="BA128" i="1"/>
  <c r="BB128" i="1"/>
  <c r="BC128" i="1"/>
  <c r="BD128" i="1"/>
  <c r="B129" i="1"/>
  <c r="AY130" i="1" s="1"/>
  <c r="D129" i="1"/>
  <c r="AZ130" i="1" s="1"/>
  <c r="J129" i="1"/>
  <c r="AK129" i="1"/>
  <c r="AM129" i="1"/>
  <c r="AO129" i="1"/>
  <c r="AV129" i="1"/>
  <c r="Q130" i="1"/>
  <c r="D68" i="11" s="1"/>
  <c r="V130" i="1"/>
  <c r="W130" i="1"/>
  <c r="X130" i="1"/>
  <c r="Y130" i="1"/>
  <c r="Z130" i="1"/>
  <c r="AA130" i="1"/>
  <c r="AE130" i="1" s="1"/>
  <c r="AT130" i="1"/>
  <c r="AV130" i="1"/>
  <c r="F132" i="1"/>
  <c r="G132" i="1" s="1"/>
  <c r="H132" i="1"/>
  <c r="I132" i="1" s="1"/>
  <c r="AD134" i="1" s="1"/>
  <c r="AK132" i="1"/>
  <c r="AM132" i="1"/>
  <c r="AO132" i="1"/>
  <c r="AQ132" i="1"/>
  <c r="BA132" i="1"/>
  <c r="BB132" i="1"/>
  <c r="BC132" i="1"/>
  <c r="BD132" i="1"/>
  <c r="B133" i="1"/>
  <c r="AY134" i="1" s="1"/>
  <c r="D133" i="1"/>
  <c r="AZ134" i="1" s="1"/>
  <c r="J133" i="1"/>
  <c r="AK133" i="1"/>
  <c r="AM133" i="1"/>
  <c r="AO133" i="1"/>
  <c r="AV133" i="1"/>
  <c r="Q134" i="1"/>
  <c r="D69" i="11" s="1"/>
  <c r="V134" i="1"/>
  <c r="W134" i="1"/>
  <c r="X134" i="1"/>
  <c r="Y134" i="1"/>
  <c r="Z134" i="1"/>
  <c r="AA134" i="1"/>
  <c r="AW133" i="1" s="1"/>
  <c r="AT134" i="1"/>
  <c r="AV134" i="1"/>
  <c r="F136" i="1"/>
  <c r="G136" i="1" s="1"/>
  <c r="H136" i="1"/>
  <c r="I136" i="1" s="1"/>
  <c r="AD138" i="1" s="1"/>
  <c r="AK136" i="1"/>
  <c r="AM136" i="1"/>
  <c r="AO136" i="1"/>
  <c r="AQ136" i="1"/>
  <c r="BA136" i="1"/>
  <c r="BB136" i="1"/>
  <c r="BC136" i="1"/>
  <c r="BD136" i="1"/>
  <c r="B137" i="1"/>
  <c r="AY138" i="1" s="1"/>
  <c r="D137" i="1"/>
  <c r="J137" i="1"/>
  <c r="AK137" i="1"/>
  <c r="AM137" i="1"/>
  <c r="AO137" i="1"/>
  <c r="AV137" i="1"/>
  <c r="Q138" i="1"/>
  <c r="D70" i="11" s="1"/>
  <c r="V138" i="1"/>
  <c r="W138" i="1"/>
  <c r="X138" i="1"/>
  <c r="Y138" i="1"/>
  <c r="Z138" i="1"/>
  <c r="AA138" i="1"/>
  <c r="AE138" i="1" s="1"/>
  <c r="AT138" i="1"/>
  <c r="AV138" i="1"/>
  <c r="AV140" i="1"/>
  <c r="AW140" i="1"/>
  <c r="F60" i="1"/>
  <c r="G60" i="1" s="1"/>
  <c r="H60" i="1"/>
  <c r="I60" i="1" s="1"/>
  <c r="AD62" i="1" s="1"/>
  <c r="AK60" i="1"/>
  <c r="AM60" i="1"/>
  <c r="AO60" i="1"/>
  <c r="AQ60" i="1"/>
  <c r="BA60" i="1"/>
  <c r="BB60" i="1"/>
  <c r="BC60" i="1"/>
  <c r="BD60" i="1"/>
  <c r="B61" i="1"/>
  <c r="D61" i="1"/>
  <c r="AZ62" i="1" s="1"/>
  <c r="J61" i="1"/>
  <c r="AK61" i="1"/>
  <c r="AM61" i="1"/>
  <c r="AO61" i="1"/>
  <c r="AV61" i="1"/>
  <c r="Q62" i="1"/>
  <c r="D51" i="11" s="1"/>
  <c r="V62" i="1"/>
  <c r="W62" i="1"/>
  <c r="X62" i="1"/>
  <c r="Y62" i="1"/>
  <c r="Z62" i="1"/>
  <c r="AA62" i="1"/>
  <c r="AW61" i="1" s="1"/>
  <c r="AT62" i="1"/>
  <c r="AV62" i="1"/>
  <c r="F64" i="1"/>
  <c r="H64" i="1"/>
  <c r="I64" i="1" s="1"/>
  <c r="AK64" i="1"/>
  <c r="AM64" i="1"/>
  <c r="AO64" i="1"/>
  <c r="AQ64" i="1"/>
  <c r="BA64" i="1"/>
  <c r="BB64" i="1"/>
  <c r="BC64" i="1"/>
  <c r="BD64" i="1"/>
  <c r="B65" i="1"/>
  <c r="AY66" i="1" s="1"/>
  <c r="D65" i="1"/>
  <c r="AZ66" i="1" s="1"/>
  <c r="J65" i="1"/>
  <c r="AK65" i="1"/>
  <c r="AM65" i="1"/>
  <c r="AO65" i="1"/>
  <c r="AV65" i="1"/>
  <c r="Q66" i="1"/>
  <c r="D52" i="11" s="1"/>
  <c r="V66" i="1"/>
  <c r="W66" i="1"/>
  <c r="X66" i="1"/>
  <c r="Y66" i="1"/>
  <c r="Z66" i="1"/>
  <c r="AA66" i="1"/>
  <c r="AW65" i="1" s="1"/>
  <c r="AT66" i="1"/>
  <c r="AV66" i="1"/>
  <c r="F68" i="1"/>
  <c r="G68" i="1" s="1"/>
  <c r="H68" i="1"/>
  <c r="I68" i="1" s="1"/>
  <c r="AK68" i="1"/>
  <c r="AM68" i="1"/>
  <c r="AO68" i="1"/>
  <c r="AQ68" i="1"/>
  <c r="BA68" i="1"/>
  <c r="BB68" i="1"/>
  <c r="BC68" i="1"/>
  <c r="BD68" i="1"/>
  <c r="B69" i="1"/>
  <c r="AY70" i="1" s="1"/>
  <c r="D69" i="1"/>
  <c r="AZ70" i="1" s="1"/>
  <c r="J69" i="1"/>
  <c r="AK69" i="1"/>
  <c r="AM69" i="1"/>
  <c r="AO69" i="1"/>
  <c r="AV69" i="1"/>
  <c r="Q70" i="1"/>
  <c r="D53" i="11" s="1"/>
  <c r="V70" i="1"/>
  <c r="W70" i="1"/>
  <c r="X70" i="1"/>
  <c r="Y70" i="1"/>
  <c r="Z70" i="1"/>
  <c r="AA70" i="1"/>
  <c r="AW69" i="1" s="1"/>
  <c r="AT70" i="1"/>
  <c r="AV70" i="1"/>
  <c r="F72" i="1"/>
  <c r="G72" i="1" s="1"/>
  <c r="H72" i="1"/>
  <c r="I72" i="1" s="1"/>
  <c r="AK72" i="1"/>
  <c r="AM72" i="1"/>
  <c r="AO72" i="1"/>
  <c r="AQ72" i="1"/>
  <c r="BA72" i="1"/>
  <c r="BB72" i="1"/>
  <c r="BC72" i="1"/>
  <c r="BD72" i="1"/>
  <c r="B73" i="1"/>
  <c r="AY74" i="1" s="1"/>
  <c r="D73" i="1"/>
  <c r="AZ74" i="1" s="1"/>
  <c r="J73" i="1"/>
  <c r="AK73" i="1"/>
  <c r="AM73" i="1"/>
  <c r="AO73" i="1"/>
  <c r="AV73" i="1"/>
  <c r="Q74" i="1"/>
  <c r="D54" i="11" s="1"/>
  <c r="V74" i="1"/>
  <c r="W74" i="1"/>
  <c r="X74" i="1"/>
  <c r="Y74" i="1"/>
  <c r="Z74" i="1"/>
  <c r="AA74" i="1"/>
  <c r="AW73" i="1" s="1"/>
  <c r="AT74" i="1"/>
  <c r="AV74" i="1"/>
  <c r="F76" i="1"/>
  <c r="G76" i="1" s="1"/>
  <c r="H76" i="1"/>
  <c r="I76" i="1" s="1"/>
  <c r="AK76" i="1"/>
  <c r="AM76" i="1"/>
  <c r="AO76" i="1"/>
  <c r="AQ76" i="1"/>
  <c r="BA76" i="1"/>
  <c r="BB76" i="1"/>
  <c r="BC76" i="1"/>
  <c r="BD76" i="1"/>
  <c r="B77" i="1"/>
  <c r="D77" i="1"/>
  <c r="AZ78" i="1" s="1"/>
  <c r="J77" i="1"/>
  <c r="AK77" i="1"/>
  <c r="AM77" i="1"/>
  <c r="AO77" i="1"/>
  <c r="AV77" i="1"/>
  <c r="Q78" i="1"/>
  <c r="D55" i="11" s="1"/>
  <c r="V78" i="1"/>
  <c r="W78" i="1"/>
  <c r="X78" i="1"/>
  <c r="Y78" i="1"/>
  <c r="Z78" i="1"/>
  <c r="AA78" i="1"/>
  <c r="AW77" i="1" s="1"/>
  <c r="AT78" i="1"/>
  <c r="AV78" i="1"/>
  <c r="F80" i="1"/>
  <c r="G80" i="1" s="1"/>
  <c r="H80" i="1"/>
  <c r="I80" i="1" s="1"/>
  <c r="AK80" i="1"/>
  <c r="AM80" i="1"/>
  <c r="AO80" i="1"/>
  <c r="AQ80" i="1"/>
  <c r="BA80" i="1"/>
  <c r="BB80" i="1"/>
  <c r="BC80" i="1"/>
  <c r="BD80" i="1"/>
  <c r="B81" i="1"/>
  <c r="AY82" i="1" s="1"/>
  <c r="D81" i="1"/>
  <c r="AZ82" i="1" s="1"/>
  <c r="J81" i="1"/>
  <c r="AK81" i="1"/>
  <c r="AM81" i="1"/>
  <c r="AO81" i="1"/>
  <c r="AV81" i="1"/>
  <c r="Q82" i="1"/>
  <c r="D56" i="11" s="1"/>
  <c r="V82" i="1"/>
  <c r="W82" i="1"/>
  <c r="X82" i="1"/>
  <c r="Y82" i="1"/>
  <c r="Z82" i="1"/>
  <c r="AA82" i="1"/>
  <c r="AW81" i="1" s="1"/>
  <c r="AT82" i="1"/>
  <c r="AV82" i="1"/>
  <c r="F84" i="1"/>
  <c r="G84" i="1" s="1"/>
  <c r="H84" i="1"/>
  <c r="I84" i="1" s="1"/>
  <c r="AK84" i="1"/>
  <c r="AM84" i="1"/>
  <c r="AO84" i="1"/>
  <c r="AQ84" i="1"/>
  <c r="BA84" i="1"/>
  <c r="BB84" i="1"/>
  <c r="BC84" i="1"/>
  <c r="BD84" i="1"/>
  <c r="B85" i="1"/>
  <c r="D85" i="1"/>
  <c r="J85" i="1"/>
  <c r="AK85" i="1"/>
  <c r="AM85" i="1"/>
  <c r="AO85" i="1"/>
  <c r="AV85" i="1"/>
  <c r="Q86" i="1"/>
  <c r="D57" i="11" s="1"/>
  <c r="V86" i="1"/>
  <c r="W86" i="1"/>
  <c r="X86" i="1"/>
  <c r="Y86" i="1"/>
  <c r="Z86" i="1"/>
  <c r="AA86" i="1"/>
  <c r="AW85" i="1" s="1"/>
  <c r="AT86" i="1"/>
  <c r="AV86" i="1"/>
  <c r="F88" i="1"/>
  <c r="G88" i="1" s="1"/>
  <c r="H88" i="1"/>
  <c r="I88" i="1" s="1"/>
  <c r="AK88" i="1"/>
  <c r="AM88" i="1"/>
  <c r="AO88" i="1"/>
  <c r="AQ88" i="1"/>
  <c r="BA88" i="1"/>
  <c r="BB88" i="1"/>
  <c r="BC88" i="1"/>
  <c r="BD88" i="1"/>
  <c r="B89" i="1"/>
  <c r="AY90" i="1" s="1"/>
  <c r="D89" i="1"/>
  <c r="AZ90" i="1" s="1"/>
  <c r="J89" i="1"/>
  <c r="AK89" i="1"/>
  <c r="AM89" i="1"/>
  <c r="AO89" i="1"/>
  <c r="AV89" i="1"/>
  <c r="Q90" i="1"/>
  <c r="D58" i="11" s="1"/>
  <c r="V90" i="1"/>
  <c r="W90" i="1"/>
  <c r="X90" i="1"/>
  <c r="Y90" i="1"/>
  <c r="Z90" i="1"/>
  <c r="AA90" i="1"/>
  <c r="AW89" i="1" s="1"/>
  <c r="AT90" i="1"/>
  <c r="AV90" i="1"/>
  <c r="F92" i="1"/>
  <c r="G92" i="1" s="1"/>
  <c r="H92" i="1"/>
  <c r="I92" i="1" s="1"/>
  <c r="AK92" i="1"/>
  <c r="AM92" i="1"/>
  <c r="AO92" i="1"/>
  <c r="AQ92" i="1"/>
  <c r="BA92" i="1"/>
  <c r="BB92" i="1"/>
  <c r="BC92" i="1"/>
  <c r="BD92" i="1"/>
  <c r="B93" i="1"/>
  <c r="D93" i="1"/>
  <c r="AZ94" i="1" s="1"/>
  <c r="J93" i="1"/>
  <c r="AK93" i="1"/>
  <c r="AM93" i="1"/>
  <c r="AO93" i="1"/>
  <c r="AV93" i="1"/>
  <c r="Q94" i="1"/>
  <c r="D59" i="11" s="1"/>
  <c r="V94" i="1"/>
  <c r="W94" i="1"/>
  <c r="X94" i="1"/>
  <c r="Y94" i="1"/>
  <c r="Z94" i="1"/>
  <c r="AA94" i="1"/>
  <c r="AW93" i="1" s="1"/>
  <c r="AT94" i="1"/>
  <c r="AV94" i="1"/>
  <c r="F96" i="1"/>
  <c r="G96" i="1" s="1"/>
  <c r="H96" i="1"/>
  <c r="AK96" i="1"/>
  <c r="AM96" i="1"/>
  <c r="AO96" i="1"/>
  <c r="AQ96" i="1"/>
  <c r="BA96" i="1"/>
  <c r="BB96" i="1"/>
  <c r="BC96" i="1"/>
  <c r="BD96" i="1"/>
  <c r="B97" i="1"/>
  <c r="AY98" i="1" s="1"/>
  <c r="D97" i="1"/>
  <c r="AZ98" i="1" s="1"/>
  <c r="J97" i="1"/>
  <c r="AK97" i="1"/>
  <c r="AM97" i="1"/>
  <c r="AO97" i="1"/>
  <c r="AV97" i="1"/>
  <c r="Q98" i="1"/>
  <c r="D60" i="11" s="1"/>
  <c r="V98" i="1"/>
  <c r="W98" i="1"/>
  <c r="X98" i="1"/>
  <c r="Y98" i="1"/>
  <c r="Z98" i="1"/>
  <c r="AA98" i="1"/>
  <c r="AW97" i="1" s="1"/>
  <c r="AT98" i="1"/>
  <c r="AV98" i="1"/>
  <c r="F56" i="1"/>
  <c r="G56" i="1" s="1"/>
  <c r="H56" i="1"/>
  <c r="I56" i="1" s="1"/>
  <c r="AK56" i="1"/>
  <c r="AM56" i="1"/>
  <c r="AO56" i="1"/>
  <c r="AQ56" i="1"/>
  <c r="BA56" i="1"/>
  <c r="BB56" i="1"/>
  <c r="BC56" i="1"/>
  <c r="BD56" i="1"/>
  <c r="B57" i="1"/>
  <c r="AY58" i="1" s="1"/>
  <c r="D57" i="1"/>
  <c r="AZ58" i="1" s="1"/>
  <c r="J57" i="1"/>
  <c r="AK57" i="1"/>
  <c r="AM57" i="1"/>
  <c r="AO57" i="1"/>
  <c r="AV57" i="1"/>
  <c r="Q58" i="1"/>
  <c r="D50" i="11" s="1"/>
  <c r="V58" i="1"/>
  <c r="W58" i="1"/>
  <c r="X58" i="1"/>
  <c r="Y58" i="1"/>
  <c r="Z58" i="1"/>
  <c r="AA58" i="1"/>
  <c r="AW57" i="1" s="1"/>
  <c r="AT58" i="1"/>
  <c r="AV58" i="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4" i="11"/>
  <c r="A13" i="11"/>
  <c r="A12" i="11"/>
  <c r="A15" i="11"/>
  <c r="A11" i="11"/>
  <c r="A10" i="11"/>
  <c r="R1" i="6"/>
  <c r="AR135" i="6"/>
  <c r="AT141" i="6"/>
  <c r="AU141" i="6"/>
  <c r="AI137" i="6"/>
  <c r="AK137" i="6"/>
  <c r="AM137" i="6"/>
  <c r="AO137" i="6"/>
  <c r="AY137" i="6"/>
  <c r="AZ137" i="6"/>
  <c r="BA137" i="6"/>
  <c r="BB137" i="6"/>
  <c r="B138" i="6"/>
  <c r="C138" i="6"/>
  <c r="M138" i="6"/>
  <c r="AI138" i="6"/>
  <c r="AK138" i="6"/>
  <c r="AM138" i="6"/>
  <c r="AT138" i="6"/>
  <c r="N139" i="6"/>
  <c r="O139" i="6" s="1"/>
  <c r="D39" i="11" s="1"/>
  <c r="P139" i="6"/>
  <c r="Q139" i="6" s="1"/>
  <c r="T139" i="6"/>
  <c r="U139" i="6"/>
  <c r="V139" i="6"/>
  <c r="Z139" i="6"/>
  <c r="AU138" i="6" s="1"/>
  <c r="AR139" i="6"/>
  <c r="AT139" i="6"/>
  <c r="AI133" i="6"/>
  <c r="AK133" i="6"/>
  <c r="AM133" i="6"/>
  <c r="AO133" i="6"/>
  <c r="AY133" i="6"/>
  <c r="AZ133" i="6"/>
  <c r="BA133" i="6"/>
  <c r="BB133" i="6"/>
  <c r="B134" i="6"/>
  <c r="AW135" i="6" s="1"/>
  <c r="C134" i="6"/>
  <c r="AP135" i="6" s="1"/>
  <c r="M134" i="6"/>
  <c r="AI134" i="6"/>
  <c r="AK134" i="6"/>
  <c r="AM134" i="6"/>
  <c r="AT134" i="6"/>
  <c r="N135" i="6"/>
  <c r="O135" i="6" s="1"/>
  <c r="D38" i="11" s="1"/>
  <c r="P135" i="6"/>
  <c r="Q135" i="6" s="1"/>
  <c r="T135" i="6"/>
  <c r="U135" i="6"/>
  <c r="V135" i="6"/>
  <c r="Z135" i="6"/>
  <c r="AU134" i="6" s="1"/>
  <c r="AT135" i="6"/>
  <c r="AI129" i="6"/>
  <c r="AK129" i="6"/>
  <c r="AM129" i="6"/>
  <c r="AO129" i="6"/>
  <c r="AY129" i="6"/>
  <c r="AZ129" i="6"/>
  <c r="BA129" i="6"/>
  <c r="BB129" i="6"/>
  <c r="B130" i="6"/>
  <c r="C130" i="6"/>
  <c r="AX131" i="6" s="1"/>
  <c r="M130" i="6"/>
  <c r="AI130" i="6"/>
  <c r="AK130" i="6"/>
  <c r="AM130" i="6"/>
  <c r="AT130" i="6"/>
  <c r="N131" i="6"/>
  <c r="O131" i="6" s="1"/>
  <c r="D131" i="6" s="1"/>
  <c r="P131" i="6"/>
  <c r="Q131" i="6" s="1"/>
  <c r="T131" i="6"/>
  <c r="U131" i="6"/>
  <c r="V131" i="6"/>
  <c r="Z131" i="6"/>
  <c r="AU130" i="6" s="1"/>
  <c r="AR131" i="6"/>
  <c r="AT131" i="6"/>
  <c r="AI125" i="6"/>
  <c r="AK125" i="6"/>
  <c r="AM125" i="6"/>
  <c r="AO125" i="6"/>
  <c r="AY125" i="6"/>
  <c r="AZ125" i="6"/>
  <c r="BA125" i="6"/>
  <c r="BB125" i="6"/>
  <c r="B126" i="6"/>
  <c r="C126" i="6"/>
  <c r="AX127" i="6" s="1"/>
  <c r="M126" i="6"/>
  <c r="AI126" i="6"/>
  <c r="AK126" i="6"/>
  <c r="AM126" i="6"/>
  <c r="AT126" i="6"/>
  <c r="N127" i="6"/>
  <c r="O127" i="6" s="1"/>
  <c r="D36" i="11" s="1"/>
  <c r="P127" i="6"/>
  <c r="Q127" i="6" s="1"/>
  <c r="T127" i="6"/>
  <c r="U127" i="6"/>
  <c r="V127" i="6"/>
  <c r="Z127" i="6"/>
  <c r="AU126" i="6" s="1"/>
  <c r="AR127" i="6"/>
  <c r="AT127" i="6"/>
  <c r="AI121" i="6"/>
  <c r="AK121" i="6"/>
  <c r="AM121" i="6"/>
  <c r="AO121" i="6"/>
  <c r="AY121" i="6"/>
  <c r="AZ121" i="6"/>
  <c r="BA121" i="6"/>
  <c r="BB121" i="6"/>
  <c r="B122" i="6"/>
  <c r="C122" i="6"/>
  <c r="M122" i="6"/>
  <c r="AI122" i="6"/>
  <c r="AK122" i="6"/>
  <c r="AM122" i="6"/>
  <c r="AT122" i="6"/>
  <c r="N123" i="6"/>
  <c r="O123" i="6" s="1"/>
  <c r="D35" i="11" s="1"/>
  <c r="P123" i="6"/>
  <c r="Q123" i="6" s="1"/>
  <c r="T123" i="6"/>
  <c r="U123" i="6"/>
  <c r="V123" i="6"/>
  <c r="Z123" i="6"/>
  <c r="AU122" i="6" s="1"/>
  <c r="AR123" i="6"/>
  <c r="AT123" i="6"/>
  <c r="AI117" i="6"/>
  <c r="AK117" i="6"/>
  <c r="AM117" i="6"/>
  <c r="AO117" i="6"/>
  <c r="AY117" i="6"/>
  <c r="AZ117" i="6"/>
  <c r="BA117" i="6"/>
  <c r="BB117" i="6"/>
  <c r="B118" i="6"/>
  <c r="C118" i="6"/>
  <c r="AX119" i="6" s="1"/>
  <c r="M118" i="6"/>
  <c r="AI118" i="6"/>
  <c r="AK118" i="6"/>
  <c r="AM118" i="6"/>
  <c r="AT118" i="6"/>
  <c r="N119" i="6"/>
  <c r="O119" i="6" s="1"/>
  <c r="D34" i="11" s="1"/>
  <c r="P119" i="6"/>
  <c r="Q119" i="6" s="1"/>
  <c r="T119" i="6"/>
  <c r="U119" i="6"/>
  <c r="V119" i="6"/>
  <c r="Z119" i="6"/>
  <c r="AU118" i="6" s="1"/>
  <c r="AR119" i="6"/>
  <c r="AT119" i="6"/>
  <c r="AI113" i="6"/>
  <c r="AK113" i="6"/>
  <c r="AM113" i="6"/>
  <c r="AO113" i="6"/>
  <c r="AY113" i="6"/>
  <c r="AZ113" i="6"/>
  <c r="BA113" i="6"/>
  <c r="BB113" i="6"/>
  <c r="B114" i="6"/>
  <c r="C114" i="6"/>
  <c r="AX115" i="6" s="1"/>
  <c r="M114" i="6"/>
  <c r="AI114" i="6"/>
  <c r="AK114" i="6"/>
  <c r="AM114" i="6"/>
  <c r="AT114" i="6"/>
  <c r="N115" i="6"/>
  <c r="O115" i="6" s="1"/>
  <c r="D33" i="11" s="1"/>
  <c r="P115" i="6"/>
  <c r="Q115" i="6" s="1"/>
  <c r="T115" i="6"/>
  <c r="U115" i="6"/>
  <c r="V115" i="6"/>
  <c r="Z115" i="6"/>
  <c r="AU114" i="6" s="1"/>
  <c r="AR115" i="6"/>
  <c r="AT115" i="6"/>
  <c r="AI109" i="6"/>
  <c r="AK109" i="6"/>
  <c r="AM109" i="6"/>
  <c r="AO109" i="6"/>
  <c r="AY109" i="6"/>
  <c r="AZ109" i="6"/>
  <c r="BA109" i="6"/>
  <c r="BB109" i="6"/>
  <c r="B110" i="6"/>
  <c r="AW111" i="6" s="1"/>
  <c r="C110" i="6"/>
  <c r="M110" i="6"/>
  <c r="AI110" i="6"/>
  <c r="AK110" i="6"/>
  <c r="AM110" i="6"/>
  <c r="AT110" i="6"/>
  <c r="N111" i="6"/>
  <c r="O111" i="6" s="1"/>
  <c r="D32" i="11" s="1"/>
  <c r="P111" i="6"/>
  <c r="Q111" i="6" s="1"/>
  <c r="T111" i="6"/>
  <c r="U111" i="6"/>
  <c r="V111" i="6"/>
  <c r="Z111" i="6"/>
  <c r="AU110" i="6" s="1"/>
  <c r="AR111" i="6"/>
  <c r="AT111" i="6"/>
  <c r="AI105" i="6"/>
  <c r="AK105" i="6"/>
  <c r="AM105" i="6"/>
  <c r="AO105" i="6"/>
  <c r="AY105" i="6"/>
  <c r="AZ105" i="6"/>
  <c r="BA105" i="6"/>
  <c r="BB105" i="6"/>
  <c r="B106" i="6"/>
  <c r="C106" i="6"/>
  <c r="M106" i="6"/>
  <c r="AI106" i="6"/>
  <c r="AK106" i="6"/>
  <c r="AM106" i="6"/>
  <c r="AT106" i="6"/>
  <c r="N107" i="6"/>
  <c r="O107" i="6" s="1"/>
  <c r="D31" i="11" s="1"/>
  <c r="P107" i="6"/>
  <c r="Q107" i="6" s="1"/>
  <c r="T107" i="6"/>
  <c r="U107" i="6"/>
  <c r="V107" i="6"/>
  <c r="Z107" i="6"/>
  <c r="AU106" i="6" s="1"/>
  <c r="AR107" i="6"/>
  <c r="AT107" i="6"/>
  <c r="AI101" i="6"/>
  <c r="AK101" i="6"/>
  <c r="AM101" i="6"/>
  <c r="AO101" i="6"/>
  <c r="AY101" i="6"/>
  <c r="AZ101" i="6"/>
  <c r="BA101" i="6"/>
  <c r="BB101" i="6"/>
  <c r="B102" i="6"/>
  <c r="C102" i="6"/>
  <c r="AX103" i="6" s="1"/>
  <c r="M102" i="6"/>
  <c r="AI102" i="6"/>
  <c r="AK102" i="6"/>
  <c r="AM102" i="6"/>
  <c r="AT102" i="6"/>
  <c r="N103" i="6"/>
  <c r="O103" i="6" s="1"/>
  <c r="P103" i="6"/>
  <c r="Q103" i="6" s="1"/>
  <c r="T103" i="6"/>
  <c r="U103" i="6"/>
  <c r="V103" i="6"/>
  <c r="Z103" i="6"/>
  <c r="AA103" i="6" s="1"/>
  <c r="AR103" i="6"/>
  <c r="AT103" i="6"/>
  <c r="AI97" i="6"/>
  <c r="AK97" i="6"/>
  <c r="AM97" i="6"/>
  <c r="AO97" i="6"/>
  <c r="AY97" i="6"/>
  <c r="AZ97" i="6"/>
  <c r="BA97" i="6"/>
  <c r="BB97" i="6"/>
  <c r="B98" i="6"/>
  <c r="AW99" i="6" s="1"/>
  <c r="C98" i="6"/>
  <c r="M98" i="6"/>
  <c r="AI98" i="6"/>
  <c r="AK98" i="6"/>
  <c r="AM98" i="6"/>
  <c r="AT98" i="6"/>
  <c r="N99" i="6"/>
  <c r="O99" i="6" s="1"/>
  <c r="P99" i="6"/>
  <c r="Q99" i="6" s="1"/>
  <c r="T99" i="6"/>
  <c r="U99" i="6"/>
  <c r="V99" i="6"/>
  <c r="Z99" i="6"/>
  <c r="AU98" i="6" s="1"/>
  <c r="AR99" i="6"/>
  <c r="AT99" i="6"/>
  <c r="AI93" i="6"/>
  <c r="AK93" i="6"/>
  <c r="AM93" i="6"/>
  <c r="AO93" i="6"/>
  <c r="AY93" i="6"/>
  <c r="AZ93" i="6"/>
  <c r="BA93" i="6"/>
  <c r="BB93" i="6"/>
  <c r="B94" i="6"/>
  <c r="C94" i="6"/>
  <c r="M94" i="6"/>
  <c r="AI94" i="6"/>
  <c r="AK94" i="6"/>
  <c r="AM94" i="6"/>
  <c r="AT94" i="6"/>
  <c r="N95" i="6"/>
  <c r="O95" i="6" s="1"/>
  <c r="D28" i="11" s="1"/>
  <c r="P95" i="6"/>
  <c r="Q95" i="6" s="1"/>
  <c r="T95" i="6"/>
  <c r="U95" i="6"/>
  <c r="V95" i="6"/>
  <c r="Z95" i="6"/>
  <c r="AU94" i="6" s="1"/>
  <c r="AR95" i="6"/>
  <c r="AT95" i="6"/>
  <c r="AI89" i="6"/>
  <c r="AK89" i="6"/>
  <c r="AM89" i="6"/>
  <c r="AO89" i="6"/>
  <c r="AY89" i="6"/>
  <c r="AZ89" i="6"/>
  <c r="BA89" i="6"/>
  <c r="BB89" i="6"/>
  <c r="B90" i="6"/>
  <c r="AW91" i="6" s="1"/>
  <c r="C90" i="6"/>
  <c r="AX91" i="6" s="1"/>
  <c r="M90" i="6"/>
  <c r="AI90" i="6"/>
  <c r="AK90" i="6"/>
  <c r="AM90" i="6"/>
  <c r="AT90" i="6"/>
  <c r="N91" i="6"/>
  <c r="O91" i="6" s="1"/>
  <c r="D27" i="11" s="1"/>
  <c r="P91" i="6"/>
  <c r="Q91" i="6" s="1"/>
  <c r="T91" i="6"/>
  <c r="U91" i="6"/>
  <c r="V91" i="6"/>
  <c r="Z91" i="6"/>
  <c r="AU90" i="6" s="1"/>
  <c r="AR91" i="6"/>
  <c r="AT91" i="6"/>
  <c r="AI85" i="6"/>
  <c r="AK85" i="6"/>
  <c r="AM85" i="6"/>
  <c r="AO85" i="6"/>
  <c r="AY85" i="6"/>
  <c r="AZ85" i="6"/>
  <c r="BA85" i="6"/>
  <c r="BB85" i="6"/>
  <c r="B86" i="6"/>
  <c r="C86" i="6"/>
  <c r="AX87" i="6" s="1"/>
  <c r="M86" i="6"/>
  <c r="AI86" i="6"/>
  <c r="AK86" i="6"/>
  <c r="AM86" i="6"/>
  <c r="AT86" i="6"/>
  <c r="N87" i="6"/>
  <c r="O87" i="6" s="1"/>
  <c r="D26" i="11" s="1"/>
  <c r="P87" i="6"/>
  <c r="Q87" i="6" s="1"/>
  <c r="T87" i="6"/>
  <c r="U87" i="6"/>
  <c r="V87" i="6"/>
  <c r="Z87" i="6"/>
  <c r="AU86" i="6" s="1"/>
  <c r="AR87" i="6"/>
  <c r="AT87" i="6"/>
  <c r="AI81" i="6"/>
  <c r="AK81" i="6"/>
  <c r="AM81" i="6"/>
  <c r="AO81" i="6"/>
  <c r="AY81" i="6"/>
  <c r="AZ81" i="6"/>
  <c r="BA81" i="6"/>
  <c r="BB81" i="6"/>
  <c r="B82" i="6"/>
  <c r="AW83" i="6" s="1"/>
  <c r="C82" i="6"/>
  <c r="AX83" i="6" s="1"/>
  <c r="M82" i="6"/>
  <c r="AI82" i="6"/>
  <c r="AK82" i="6"/>
  <c r="AM82" i="6"/>
  <c r="AT82" i="6"/>
  <c r="N83" i="6"/>
  <c r="O83" i="6" s="1"/>
  <c r="D25" i="11" s="1"/>
  <c r="P83" i="6"/>
  <c r="Q83" i="6" s="1"/>
  <c r="T83" i="6"/>
  <c r="U83" i="6"/>
  <c r="V83" i="6"/>
  <c r="Z83" i="6"/>
  <c r="AU82" i="6" s="1"/>
  <c r="AR83" i="6"/>
  <c r="AT83" i="6"/>
  <c r="AI77" i="6"/>
  <c r="AK77" i="6"/>
  <c r="AM77" i="6"/>
  <c r="AO77" i="6"/>
  <c r="AY77" i="6"/>
  <c r="AZ77" i="6"/>
  <c r="BA77" i="6"/>
  <c r="BB77" i="6"/>
  <c r="B78" i="6"/>
  <c r="AW79" i="6" s="1"/>
  <c r="C78" i="6"/>
  <c r="M78" i="6"/>
  <c r="AI78" i="6"/>
  <c r="AK78" i="6"/>
  <c r="AM78" i="6"/>
  <c r="AT78" i="6"/>
  <c r="N79" i="6"/>
  <c r="O79" i="6" s="1"/>
  <c r="D24" i="11" s="1"/>
  <c r="P79" i="6"/>
  <c r="Q79" i="6" s="1"/>
  <c r="T79" i="6"/>
  <c r="U79" i="6"/>
  <c r="V79" i="6"/>
  <c r="Z79" i="6"/>
  <c r="AU78" i="6" s="1"/>
  <c r="AR79" i="6"/>
  <c r="AT79" i="6"/>
  <c r="AI73" i="6"/>
  <c r="AK73" i="6"/>
  <c r="AM73" i="6"/>
  <c r="AO73" i="6"/>
  <c r="AY73" i="6"/>
  <c r="AZ73" i="6"/>
  <c r="BA73" i="6"/>
  <c r="BB73" i="6"/>
  <c r="B74" i="6"/>
  <c r="C74" i="6"/>
  <c r="M74" i="6"/>
  <c r="AI74" i="6"/>
  <c r="AK74" i="6"/>
  <c r="AM74" i="6"/>
  <c r="AT74" i="6"/>
  <c r="N75" i="6"/>
  <c r="O75" i="6" s="1"/>
  <c r="P75" i="6"/>
  <c r="Q75" i="6" s="1"/>
  <c r="T75" i="6"/>
  <c r="U75" i="6"/>
  <c r="V75" i="6"/>
  <c r="Z75" i="6"/>
  <c r="AA75" i="6" s="1"/>
  <c r="AR75" i="6"/>
  <c r="AT75" i="6"/>
  <c r="AT71" i="6"/>
  <c r="AR71" i="6"/>
  <c r="Z71" i="6"/>
  <c r="AU71" i="6" s="1"/>
  <c r="V71" i="6"/>
  <c r="U71" i="6"/>
  <c r="T71" i="6"/>
  <c r="P71" i="6"/>
  <c r="Q71" i="6" s="1"/>
  <c r="N71" i="6"/>
  <c r="O71" i="6" s="1"/>
  <c r="D22" i="11" s="1"/>
  <c r="AT70" i="6"/>
  <c r="AM70" i="6"/>
  <c r="AK70" i="6"/>
  <c r="AI70" i="6"/>
  <c r="M70" i="6"/>
  <c r="C70" i="6"/>
  <c r="B70" i="6"/>
  <c r="BB69" i="6"/>
  <c r="BA69" i="6"/>
  <c r="AZ69" i="6"/>
  <c r="AY69" i="6"/>
  <c r="AO69" i="6"/>
  <c r="AM69" i="6"/>
  <c r="AK69" i="6"/>
  <c r="AI69" i="6"/>
  <c r="AT67" i="6"/>
  <c r="AR67" i="6"/>
  <c r="Z67" i="6"/>
  <c r="AU67" i="6" s="1"/>
  <c r="V67" i="6"/>
  <c r="U67" i="6"/>
  <c r="T67" i="6"/>
  <c r="P67" i="6"/>
  <c r="Q67" i="6" s="1"/>
  <c r="N67" i="6"/>
  <c r="O67" i="6" s="1"/>
  <c r="D21" i="11" s="1"/>
  <c r="AT66" i="6"/>
  <c r="AM66" i="6"/>
  <c r="AK66" i="6"/>
  <c r="AI66" i="6"/>
  <c r="M66" i="6"/>
  <c r="C66" i="6"/>
  <c r="B66" i="6"/>
  <c r="BB65" i="6"/>
  <c r="BA65" i="6"/>
  <c r="AZ65" i="6"/>
  <c r="AY65" i="6"/>
  <c r="AO65" i="6"/>
  <c r="AM65" i="6"/>
  <c r="AK65" i="6"/>
  <c r="AI65" i="6"/>
  <c r="AT63" i="6"/>
  <c r="AR63" i="6"/>
  <c r="Z63" i="6"/>
  <c r="AU62" i="6" s="1"/>
  <c r="V63" i="6"/>
  <c r="U63" i="6"/>
  <c r="T63" i="6"/>
  <c r="P63" i="6"/>
  <c r="Q63" i="6" s="1"/>
  <c r="N63" i="6"/>
  <c r="O63" i="6" s="1"/>
  <c r="D20" i="11" s="1"/>
  <c r="AT62" i="6"/>
  <c r="AM62" i="6"/>
  <c r="AK62" i="6"/>
  <c r="AI62" i="6"/>
  <c r="M62" i="6"/>
  <c r="C62" i="6"/>
  <c r="B62" i="6"/>
  <c r="BB61" i="6"/>
  <c r="BA61" i="6"/>
  <c r="AZ61" i="6"/>
  <c r="AY61" i="6"/>
  <c r="AO61" i="6"/>
  <c r="AM61" i="6"/>
  <c r="AK61" i="6"/>
  <c r="AI61" i="6"/>
  <c r="AR59" i="6"/>
  <c r="AT59" i="6"/>
  <c r="Z59" i="6"/>
  <c r="AU58" i="6" s="1"/>
  <c r="V59" i="6"/>
  <c r="U59" i="6"/>
  <c r="T59" i="6"/>
  <c r="P59" i="6"/>
  <c r="Q59" i="6" s="1"/>
  <c r="N59" i="6"/>
  <c r="O59" i="6" s="1"/>
  <c r="D19" i="11" s="1"/>
  <c r="AT58" i="6"/>
  <c r="AM58" i="6"/>
  <c r="AK58" i="6"/>
  <c r="AI58" i="6"/>
  <c r="M58" i="6"/>
  <c r="C58" i="6"/>
  <c r="B58" i="6"/>
  <c r="BB57" i="6"/>
  <c r="BA57" i="6"/>
  <c r="AZ57" i="6"/>
  <c r="AY57" i="6"/>
  <c r="AO57" i="6"/>
  <c r="AM57" i="6"/>
  <c r="AK57" i="6"/>
  <c r="AI57" i="6"/>
  <c r="C21" i="4"/>
  <c r="F21" i="4"/>
  <c r="T50" i="7"/>
  <c r="T51" i="7"/>
  <c r="T49" i="7"/>
  <c r="T44" i="7"/>
  <c r="T45" i="7"/>
  <c r="T46" i="7"/>
  <c r="T47" i="7"/>
  <c r="T48" i="7"/>
  <c r="T43" i="7"/>
  <c r="T70" i="25" l="1"/>
  <c r="V67" i="4"/>
  <c r="W67" i="4" s="1"/>
  <c r="AZ103" i="2"/>
  <c r="AF87" i="3"/>
  <c r="AY64" i="13"/>
  <c r="AQ119" i="4"/>
  <c r="AS111" i="3"/>
  <c r="AM103" i="4"/>
  <c r="T89" i="25"/>
  <c r="D28" i="25"/>
  <c r="A319" i="11"/>
  <c r="K4" i="25"/>
  <c r="AH94" i="20"/>
  <c r="AM94" i="20" s="1"/>
  <c r="AB151" i="25"/>
  <c r="A257" i="11"/>
  <c r="T161" i="25"/>
  <c r="AM161" i="25"/>
  <c r="E149" i="25"/>
  <c r="E154" i="25"/>
  <c r="AW138" i="24"/>
  <c r="BA138" i="24" s="1"/>
  <c r="D287" i="11"/>
  <c r="D286" i="11"/>
  <c r="D285" i="11"/>
  <c r="AW130" i="24"/>
  <c r="B285" i="11"/>
  <c r="D284" i="11"/>
  <c r="D283" i="11"/>
  <c r="D282" i="11"/>
  <c r="D281" i="11"/>
  <c r="D280" i="11"/>
  <c r="D279" i="11"/>
  <c r="D278" i="11"/>
  <c r="D277" i="11"/>
  <c r="D276" i="11"/>
  <c r="D275" i="11"/>
  <c r="AW90" i="24"/>
  <c r="AY90" i="24" s="1"/>
  <c r="B275" i="11"/>
  <c r="D274" i="11"/>
  <c r="D273" i="11"/>
  <c r="D272" i="11"/>
  <c r="AW74" i="24"/>
  <c r="BA74" i="24" s="1"/>
  <c r="D271" i="11"/>
  <c r="D270" i="11"/>
  <c r="D269" i="11"/>
  <c r="D268" i="11"/>
  <c r="D267" i="11"/>
  <c r="AA58" i="24"/>
  <c r="AB58" i="24" s="1"/>
  <c r="X58" i="24" s="1"/>
  <c r="R58" i="24" s="1"/>
  <c r="B267" i="11"/>
  <c r="D266" i="11"/>
  <c r="D265" i="11"/>
  <c r="D264" i="11"/>
  <c r="D263" i="11"/>
  <c r="D262" i="11"/>
  <c r="D261" i="11"/>
  <c r="AW26" i="24"/>
  <c r="AY26" i="24" s="1"/>
  <c r="D259" i="11"/>
  <c r="F21" i="24"/>
  <c r="B258" i="11" s="1"/>
  <c r="D260" i="11"/>
  <c r="D258" i="11"/>
  <c r="AM130" i="1"/>
  <c r="BG103" i="4"/>
  <c r="BI98" i="20"/>
  <c r="AX86" i="24"/>
  <c r="AY130" i="24"/>
  <c r="AO123" i="4"/>
  <c r="AP132" i="13"/>
  <c r="AI85" i="25"/>
  <c r="AW98" i="24"/>
  <c r="BA98" i="24" s="1"/>
  <c r="AO134" i="24"/>
  <c r="AO119" i="4"/>
  <c r="AS135" i="3"/>
  <c r="AO124" i="13"/>
  <c r="BH86" i="20"/>
  <c r="AR75" i="25"/>
  <c r="AS75" i="25" s="1"/>
  <c r="AZ123" i="2"/>
  <c r="AY114" i="20"/>
  <c r="AG56" i="25"/>
  <c r="AL34" i="24"/>
  <c r="AR96" i="13"/>
  <c r="AJ37" i="25"/>
  <c r="AF79" i="3"/>
  <c r="BI79" i="4"/>
  <c r="AV95" i="4"/>
  <c r="AX135" i="4"/>
  <c r="B84" i="25"/>
  <c r="AD66" i="25"/>
  <c r="Z66" i="25" s="1"/>
  <c r="AL50" i="24"/>
  <c r="AM107" i="3"/>
  <c r="AL64" i="5"/>
  <c r="AY104" i="13"/>
  <c r="AF85" i="25"/>
  <c r="AR131" i="2"/>
  <c r="AN75" i="4"/>
  <c r="D36" i="25"/>
  <c r="B321" i="11" s="1"/>
  <c r="AM103" i="3"/>
  <c r="AL135" i="3"/>
  <c r="AN63" i="4"/>
  <c r="AX63" i="4"/>
  <c r="AM127" i="4"/>
  <c r="BF123" i="4"/>
  <c r="BI123" i="4" s="1"/>
  <c r="AX132" i="13"/>
  <c r="AR37" i="25"/>
  <c r="AT37" i="25" s="1"/>
  <c r="AW70" i="24"/>
  <c r="AY70" i="24" s="1"/>
  <c r="BB62" i="1"/>
  <c r="AM115" i="3"/>
  <c r="AU139" i="3"/>
  <c r="D106" i="2"/>
  <c r="B123" i="11" s="1"/>
  <c r="AS139" i="4"/>
  <c r="BH103" i="4"/>
  <c r="AR64" i="13"/>
  <c r="AP60" i="13"/>
  <c r="AY128" i="13"/>
  <c r="AO132" i="13"/>
  <c r="AX122" i="20"/>
  <c r="B160" i="25"/>
  <c r="AR161" i="25" s="1"/>
  <c r="AV161" i="25" s="1"/>
  <c r="AK142" i="25"/>
  <c r="AJ86" i="24"/>
  <c r="AW134" i="24"/>
  <c r="AY134" i="24" s="1"/>
  <c r="AZ94" i="24"/>
  <c r="BB102" i="1"/>
  <c r="AR139" i="2"/>
  <c r="AR72" i="5"/>
  <c r="AY78" i="20"/>
  <c r="AS134" i="20"/>
  <c r="BH114" i="20"/>
  <c r="AY106" i="20"/>
  <c r="BJ94" i="20"/>
  <c r="AJ142" i="25"/>
  <c r="AJ123" i="25"/>
  <c r="AN62" i="24"/>
  <c r="AU70" i="20"/>
  <c r="AU66" i="20"/>
  <c r="R70" i="25"/>
  <c r="B155" i="25"/>
  <c r="AR156" i="25" s="1"/>
  <c r="AR151" i="25"/>
  <c r="AS151" i="25" s="1"/>
  <c r="D150" i="25"/>
  <c r="B327" i="11" s="1"/>
  <c r="AD142" i="25"/>
  <c r="Z142" i="25" s="1"/>
  <c r="AJ107" i="3"/>
  <c r="AJ95" i="3"/>
  <c r="AW102" i="24"/>
  <c r="BA102" i="24" s="1"/>
  <c r="AJ106" i="24"/>
  <c r="AX78" i="24"/>
  <c r="AZ78" i="24" s="1"/>
  <c r="AX66" i="24"/>
  <c r="BB66" i="24" s="1"/>
  <c r="AA138" i="24"/>
  <c r="AD138" i="24" s="1"/>
  <c r="AA134" i="24"/>
  <c r="AF134" i="24" s="1"/>
  <c r="AG134" i="24" s="1"/>
  <c r="AA102" i="24"/>
  <c r="AB102" i="24" s="1"/>
  <c r="X102" i="24" s="1"/>
  <c r="R102" i="24" s="1"/>
  <c r="AI102" i="24"/>
  <c r="AA98" i="24"/>
  <c r="AF98" i="24" s="1"/>
  <c r="AG98" i="24" s="1"/>
  <c r="AN70" i="24"/>
  <c r="AA62" i="24"/>
  <c r="AW50" i="24"/>
  <c r="BA50" i="24" s="1"/>
  <c r="AI50" i="24"/>
  <c r="AW34" i="24"/>
  <c r="BA34" i="24" s="1"/>
  <c r="AA54" i="24"/>
  <c r="AW46" i="24"/>
  <c r="BA46" i="24" s="1"/>
  <c r="AU42" i="24"/>
  <c r="AJ34" i="24"/>
  <c r="AU34" i="24"/>
  <c r="AJ62" i="24"/>
  <c r="AA106" i="24"/>
  <c r="AF106" i="24" s="1"/>
  <c r="AG106" i="24" s="1"/>
  <c r="AU105" i="24"/>
  <c r="AY86" i="24"/>
  <c r="AA70" i="24"/>
  <c r="AA38" i="24"/>
  <c r="AK34" i="24"/>
  <c r="AY110" i="24"/>
  <c r="AZ86" i="24"/>
  <c r="AU138" i="24"/>
  <c r="BA58" i="24"/>
  <c r="AU50" i="24"/>
  <c r="AU110" i="24"/>
  <c r="AU102" i="24"/>
  <c r="AU74" i="24"/>
  <c r="AU58" i="24"/>
  <c r="AJ58" i="24"/>
  <c r="AP90" i="24"/>
  <c r="AN86" i="24"/>
  <c r="AL42" i="24"/>
  <c r="AL62" i="24"/>
  <c r="AA86" i="24"/>
  <c r="AU70" i="24"/>
  <c r="AP62" i="24"/>
  <c r="AA110" i="24"/>
  <c r="AD110" i="24" s="1"/>
  <c r="BA82" i="24"/>
  <c r="AJ82" i="24"/>
  <c r="AK122" i="24"/>
  <c r="BB102" i="24"/>
  <c r="AZ102" i="24"/>
  <c r="AA26" i="24"/>
  <c r="AF26" i="24" s="1"/>
  <c r="AG26" i="24" s="1"/>
  <c r="AA66" i="24"/>
  <c r="AA114" i="24"/>
  <c r="AB114" i="24" s="1"/>
  <c r="X114" i="24" s="1"/>
  <c r="R114" i="24" s="1"/>
  <c r="AZ110" i="24"/>
  <c r="AN90" i="24"/>
  <c r="AU82" i="24"/>
  <c r="AK42" i="24"/>
  <c r="BB122" i="24"/>
  <c r="AW118" i="24"/>
  <c r="AN34" i="24"/>
  <c r="AO62" i="24"/>
  <c r="AK50" i="24"/>
  <c r="AL86" i="24"/>
  <c r="AK134" i="24"/>
  <c r="AI134" i="24"/>
  <c r="AW122" i="24"/>
  <c r="BA122" i="24" s="1"/>
  <c r="AU118" i="24"/>
  <c r="AU26" i="24"/>
  <c r="AA34" i="24"/>
  <c r="AI58" i="24"/>
  <c r="AJ50" i="24"/>
  <c r="AU49" i="24"/>
  <c r="AA46" i="24"/>
  <c r="AD46" i="24" s="1"/>
  <c r="AU90" i="24"/>
  <c r="AI86" i="24"/>
  <c r="AI82" i="24"/>
  <c r="AP74" i="24"/>
  <c r="AU122" i="24"/>
  <c r="AN114" i="24"/>
  <c r="AO110" i="24"/>
  <c r="AK102" i="24"/>
  <c r="AU81" i="24"/>
  <c r="AK74" i="24"/>
  <c r="AL130" i="24"/>
  <c r="AU30" i="24"/>
  <c r="AA30" i="24"/>
  <c r="AU46" i="24"/>
  <c r="AO114" i="24"/>
  <c r="AA90" i="24"/>
  <c r="BA86" i="24"/>
  <c r="AA74" i="24"/>
  <c r="AD74" i="24" s="1"/>
  <c r="AX134" i="24"/>
  <c r="AZ134" i="24" s="1"/>
  <c r="AJ122" i="24"/>
  <c r="AA118" i="24"/>
  <c r="AI26" i="24"/>
  <c r="AU66" i="24"/>
  <c r="AJ114" i="24"/>
  <c r="AX106" i="24"/>
  <c r="AZ106" i="24" s="1"/>
  <c r="AA122" i="24"/>
  <c r="AB122" i="24" s="1"/>
  <c r="X122" i="24" s="1"/>
  <c r="R122" i="24" s="1"/>
  <c r="AK106" i="1"/>
  <c r="AS123" i="3"/>
  <c r="AS99" i="3"/>
  <c r="AP87" i="2"/>
  <c r="AO107" i="2"/>
  <c r="AQ91" i="2"/>
  <c r="AP71" i="4"/>
  <c r="AT67" i="4"/>
  <c r="AP59" i="4"/>
  <c r="AN107" i="4"/>
  <c r="AQ80" i="13"/>
  <c r="AQ132" i="13"/>
  <c r="AY126" i="20"/>
  <c r="BK122" i="20"/>
  <c r="D318" i="11"/>
  <c r="AI122" i="24"/>
  <c r="AM67" i="3"/>
  <c r="AR75" i="4"/>
  <c r="AN103" i="4"/>
  <c r="AO103" i="4"/>
  <c r="AO120" i="13"/>
  <c r="AP100" i="13"/>
  <c r="AP128" i="13"/>
  <c r="AW122" i="20"/>
  <c r="D313" i="11"/>
  <c r="AL22" i="24"/>
  <c r="C84" i="25"/>
  <c r="AS85" i="25" s="1"/>
  <c r="AI114" i="24"/>
  <c r="BB94" i="24"/>
  <c r="AX74" i="24"/>
  <c r="BB74" i="24" s="1"/>
  <c r="AK130" i="24"/>
  <c r="AJ59" i="3"/>
  <c r="AS130" i="20"/>
  <c r="AV94" i="20"/>
  <c r="U89" i="25"/>
  <c r="E323" i="11" s="1"/>
  <c r="AR95" i="2"/>
  <c r="AS127" i="4"/>
  <c r="AP92" i="13"/>
  <c r="AU102" i="20"/>
  <c r="AJ85" i="25"/>
  <c r="AO86" i="24"/>
  <c r="AP104" i="13"/>
  <c r="BK138" i="20"/>
  <c r="AW106" i="20"/>
  <c r="AU98" i="20"/>
  <c r="AI34" i="24"/>
  <c r="AM62" i="24"/>
  <c r="AL58" i="24"/>
  <c r="AW94" i="24"/>
  <c r="AO70" i="24"/>
  <c r="BB118" i="1"/>
  <c r="AM71" i="3"/>
  <c r="AF107" i="3"/>
  <c r="AX59" i="4"/>
  <c r="BK99" i="4"/>
  <c r="AO115" i="4"/>
  <c r="AX92" i="13"/>
  <c r="AY92" i="13" s="1"/>
  <c r="AW74" i="20"/>
  <c r="AY138" i="20"/>
  <c r="BF134" i="20"/>
  <c r="BH134" i="20" s="1"/>
  <c r="AU118" i="20"/>
  <c r="AV106" i="20"/>
  <c r="AU106" i="20"/>
  <c r="R89" i="25"/>
  <c r="S56" i="25"/>
  <c r="S70" i="25" s="1"/>
  <c r="AX42" i="24"/>
  <c r="AZ42" i="24" s="1"/>
  <c r="AK58" i="24"/>
  <c r="AJ110" i="24"/>
  <c r="AO94" i="24"/>
  <c r="AK86" i="24"/>
  <c r="AX130" i="24"/>
  <c r="AZ130" i="24" s="1"/>
  <c r="BG99" i="4"/>
  <c r="AP120" i="13"/>
  <c r="BF106" i="20"/>
  <c r="BJ106" i="20" s="1"/>
  <c r="AT106" i="20"/>
  <c r="AG37" i="25"/>
  <c r="AI123" i="25"/>
  <c r="AW42" i="24"/>
  <c r="AK62" i="24"/>
  <c r="AN94" i="24"/>
  <c r="AM86" i="24"/>
  <c r="AL74" i="24"/>
  <c r="AM70" i="24"/>
  <c r="BA130" i="24"/>
  <c r="AP123" i="2"/>
  <c r="AV63" i="4"/>
  <c r="AY60" i="5"/>
  <c r="AO34" i="24"/>
  <c r="AF58" i="24"/>
  <c r="AG58" i="24" s="1"/>
  <c r="AN46" i="24"/>
  <c r="AX114" i="24"/>
  <c r="AZ114" i="24" s="1"/>
  <c r="AI110" i="24"/>
  <c r="AP106" i="24"/>
  <c r="AM94" i="24"/>
  <c r="AK94" i="24"/>
  <c r="AN134" i="24"/>
  <c r="AM130" i="24"/>
  <c r="AL122" i="24"/>
  <c r="AO118" i="24"/>
  <c r="AO102" i="1"/>
  <c r="BG135" i="4"/>
  <c r="AY132" i="13"/>
  <c r="AN38" i="24"/>
  <c r="AX34" i="24"/>
  <c r="BB34" i="24" s="1"/>
  <c r="AM34" i="24"/>
  <c r="AI62" i="24"/>
  <c r="AW114" i="24"/>
  <c r="AY114" i="24" s="1"/>
  <c r="AN106" i="24"/>
  <c r="AL102" i="24"/>
  <c r="AI94" i="24"/>
  <c r="AJ94" i="24"/>
  <c r="AO74" i="24"/>
  <c r="AM134" i="24"/>
  <c r="AZ122" i="24"/>
  <c r="AM118" i="24"/>
  <c r="AO138" i="24"/>
  <c r="AQ106" i="1"/>
  <c r="AQ99" i="2"/>
  <c r="AO87" i="4"/>
  <c r="BG131" i="4"/>
  <c r="AW123" i="4"/>
  <c r="AP68" i="13"/>
  <c r="AT134" i="20"/>
  <c r="AY122" i="20"/>
  <c r="AS122" i="20"/>
  <c r="AQ114" i="20"/>
  <c r="AJ56" i="25"/>
  <c r="AO26" i="24"/>
  <c r="AD58" i="24"/>
  <c r="AN50" i="24"/>
  <c r="AP114" i="24"/>
  <c r="AL106" i="24"/>
  <c r="AM102" i="24"/>
  <c r="AN98" i="24"/>
  <c r="AL82" i="24"/>
  <c r="AM74" i="24"/>
  <c r="AL134" i="24"/>
  <c r="AJ130" i="24"/>
  <c r="AO122" i="24"/>
  <c r="AI118" i="24"/>
  <c r="AM138" i="24"/>
  <c r="AG61" i="25"/>
  <c r="AM26" i="24"/>
  <c r="AJ42" i="24"/>
  <c r="AW66" i="24"/>
  <c r="AY66" i="24" s="1"/>
  <c r="AY58" i="24"/>
  <c r="AJ54" i="24"/>
  <c r="BB50" i="24"/>
  <c r="AM50" i="24"/>
  <c r="AM114" i="24"/>
  <c r="AM98" i="24"/>
  <c r="AY82" i="24"/>
  <c r="AK82" i="24"/>
  <c r="AM78" i="24"/>
  <c r="AI130" i="24"/>
  <c r="AM122" i="24"/>
  <c r="AK138" i="24"/>
  <c r="AF103" i="3"/>
  <c r="AO107" i="4"/>
  <c r="AQ72" i="13"/>
  <c r="AJ61" i="25"/>
  <c r="AH142" i="25"/>
  <c r="AI142" i="25" s="1"/>
  <c r="T127" i="25"/>
  <c r="AK26" i="24"/>
  <c r="AI42" i="24"/>
  <c r="AP30" i="24"/>
  <c r="AW62" i="24"/>
  <c r="BA62" i="24" s="1"/>
  <c r="AX58" i="24"/>
  <c r="AZ58" i="24" s="1"/>
  <c r="AK114" i="24"/>
  <c r="AJ102" i="24"/>
  <c r="AI90" i="24"/>
  <c r="AP86" i="24"/>
  <c r="AZ82" i="24"/>
  <c r="AI74" i="24"/>
  <c r="AJ134" i="24"/>
  <c r="E16" i="25"/>
  <c r="F16" i="25" s="1"/>
  <c r="AZ138" i="24"/>
  <c r="BB138" i="24"/>
  <c r="AY138" i="24"/>
  <c r="AP138" i="24"/>
  <c r="AN138" i="24"/>
  <c r="AL138" i="24"/>
  <c r="AJ138" i="24"/>
  <c r="AI138" i="24"/>
  <c r="AZ118" i="24"/>
  <c r="BB118" i="24"/>
  <c r="BB126" i="24"/>
  <c r="AZ126" i="24"/>
  <c r="AO126" i="24"/>
  <c r="AU133" i="24"/>
  <c r="AU130" i="24"/>
  <c r="AN126" i="24"/>
  <c r="AA126" i="24"/>
  <c r="AP118" i="24"/>
  <c r="AL126" i="24"/>
  <c r="AU125" i="24"/>
  <c r="AN118" i="24"/>
  <c r="AP130" i="24"/>
  <c r="AK126" i="24"/>
  <c r="AP126" i="24"/>
  <c r="AO130" i="24"/>
  <c r="AJ126" i="24"/>
  <c r="AL118" i="24"/>
  <c r="AN130" i="24"/>
  <c r="AA130" i="24"/>
  <c r="AI126" i="24"/>
  <c r="AP122" i="24"/>
  <c r="AW126" i="24"/>
  <c r="AJ118" i="24"/>
  <c r="AN122" i="24"/>
  <c r="AM126" i="24"/>
  <c r="AB82" i="24"/>
  <c r="X82" i="24" s="1"/>
  <c r="R82" i="24" s="1"/>
  <c r="AD82" i="24"/>
  <c r="AF82" i="24"/>
  <c r="AG82" i="24" s="1"/>
  <c r="AZ70" i="24"/>
  <c r="BB70" i="24"/>
  <c r="AZ98" i="24"/>
  <c r="BB98" i="24"/>
  <c r="AB94" i="24"/>
  <c r="X94" i="24" s="1"/>
  <c r="R94" i="24" s="1"/>
  <c r="AD94" i="24"/>
  <c r="AF94" i="24"/>
  <c r="AG94" i="24" s="1"/>
  <c r="AZ90" i="24"/>
  <c r="BB90" i="24"/>
  <c r="AO106" i="24"/>
  <c r="AL94" i="24"/>
  <c r="AU93" i="24"/>
  <c r="AP78" i="24"/>
  <c r="AL114" i="24"/>
  <c r="AU113" i="24"/>
  <c r="AP98" i="24"/>
  <c r="BB86" i="24"/>
  <c r="AO78" i="24"/>
  <c r="AJ74" i="24"/>
  <c r="AM106" i="24"/>
  <c r="AO98" i="24"/>
  <c r="AU85" i="24"/>
  <c r="AN78" i="24"/>
  <c r="AA78" i="24"/>
  <c r="AP70" i="24"/>
  <c r="AP110" i="24"/>
  <c r="AK106" i="24"/>
  <c r="AO90" i="24"/>
  <c r="AL78" i="24"/>
  <c r="AU77" i="24"/>
  <c r="AL98" i="24"/>
  <c r="AU97" i="24"/>
  <c r="AU94" i="24"/>
  <c r="AP82" i="24"/>
  <c r="AK78" i="24"/>
  <c r="AN110" i="24"/>
  <c r="AI106" i="24"/>
  <c r="AP102" i="24"/>
  <c r="AK98" i="24"/>
  <c r="AM90" i="24"/>
  <c r="AO82" i="24"/>
  <c r="AJ78" i="24"/>
  <c r="AL70" i="24"/>
  <c r="BB110" i="24"/>
  <c r="AM110" i="24"/>
  <c r="AW106" i="24"/>
  <c r="AO102" i="24"/>
  <c r="AJ98" i="24"/>
  <c r="AL90" i="24"/>
  <c r="AN82" i="24"/>
  <c r="AI78" i="24"/>
  <c r="AK70" i="24"/>
  <c r="BA110" i="24"/>
  <c r="AL110" i="24"/>
  <c r="AN102" i="24"/>
  <c r="AI98" i="24"/>
  <c r="AP94" i="24"/>
  <c r="AK90" i="24"/>
  <c r="BB82" i="24"/>
  <c r="AM82" i="24"/>
  <c r="AW78" i="24"/>
  <c r="AJ70" i="24"/>
  <c r="AK110" i="24"/>
  <c r="AJ90" i="24"/>
  <c r="AN74" i="24"/>
  <c r="AI70" i="24"/>
  <c r="AF50" i="24"/>
  <c r="AG50" i="24" s="1"/>
  <c r="AB50" i="24"/>
  <c r="X50" i="24" s="1"/>
  <c r="R50" i="24" s="1"/>
  <c r="AD50" i="24"/>
  <c r="AZ50" i="24"/>
  <c r="AO46" i="24"/>
  <c r="AN66" i="24"/>
  <c r="AL66" i="24"/>
  <c r="AU62" i="24"/>
  <c r="AN58" i="24"/>
  <c r="AX54" i="24"/>
  <c r="AI54" i="24"/>
  <c r="AP50" i="24"/>
  <c r="AK46" i="24"/>
  <c r="AP46" i="24"/>
  <c r="AK66" i="24"/>
  <c r="AM58" i="24"/>
  <c r="AW54" i="24"/>
  <c r="AO50" i="24"/>
  <c r="AJ46" i="24"/>
  <c r="AP54" i="24"/>
  <c r="BB62" i="24"/>
  <c r="AO54" i="24"/>
  <c r="AN54" i="24"/>
  <c r="AP66" i="24"/>
  <c r="AZ62" i="24"/>
  <c r="AM54" i="24"/>
  <c r="AO66" i="24"/>
  <c r="AL54" i="24"/>
  <c r="AU53" i="24"/>
  <c r="AP58" i="24"/>
  <c r="AK54" i="24"/>
  <c r="AM46" i="24"/>
  <c r="AM66" i="24"/>
  <c r="AO58" i="24"/>
  <c r="AL46" i="24"/>
  <c r="AJ66" i="24"/>
  <c r="AX46" i="24"/>
  <c r="AI46" i="24"/>
  <c r="AY30" i="24"/>
  <c r="BA30" i="24"/>
  <c r="AL38" i="24"/>
  <c r="AU37" i="24"/>
  <c r="AN30" i="24"/>
  <c r="AP42" i="24"/>
  <c r="AK38" i="24"/>
  <c r="AM30" i="24"/>
  <c r="AO42" i="24"/>
  <c r="AJ38" i="24"/>
  <c r="AL30" i="24"/>
  <c r="AO30" i="24"/>
  <c r="AN42" i="24"/>
  <c r="AA42" i="24"/>
  <c r="AX38" i="24"/>
  <c r="AI38" i="24"/>
  <c r="AP34" i="24"/>
  <c r="AK30" i="24"/>
  <c r="AP38" i="24"/>
  <c r="AM42" i="24"/>
  <c r="AW38" i="24"/>
  <c r="AJ30" i="24"/>
  <c r="AO38" i="24"/>
  <c r="AM38" i="24"/>
  <c r="AX30" i="24"/>
  <c r="AI30" i="24"/>
  <c r="AZ26" i="24"/>
  <c r="BB26" i="24"/>
  <c r="BA26" i="24"/>
  <c r="AP26" i="24"/>
  <c r="AN26" i="24"/>
  <c r="AL26" i="24"/>
  <c r="AJ26" i="24"/>
  <c r="D161" i="25"/>
  <c r="U146" i="25"/>
  <c r="E326" i="11" s="1"/>
  <c r="R146" i="25"/>
  <c r="Q146" i="25"/>
  <c r="U127" i="25"/>
  <c r="E325" i="11" s="1"/>
  <c r="Q127" i="25"/>
  <c r="P127" i="25"/>
  <c r="D325" i="11" s="1"/>
  <c r="T108" i="25"/>
  <c r="S89" i="25"/>
  <c r="P89" i="25"/>
  <c r="D323" i="11" s="1"/>
  <c r="Q89" i="25"/>
  <c r="AS161" i="25"/>
  <c r="AK161" i="25"/>
  <c r="AG156" i="25"/>
  <c r="AI156" i="25"/>
  <c r="AD161" i="25"/>
  <c r="Z161" i="25" s="1"/>
  <c r="AF161" i="25"/>
  <c r="AH161" i="25"/>
  <c r="AI161" i="25" s="1"/>
  <c r="AP136" i="25"/>
  <c r="AF137" i="25"/>
  <c r="AP137" i="25"/>
  <c r="AS94" i="25"/>
  <c r="AT94" i="25"/>
  <c r="AD137" i="25"/>
  <c r="AC137" i="25"/>
  <c r="AS137" i="25"/>
  <c r="AT137" i="25"/>
  <c r="AG132" i="25"/>
  <c r="AI132" i="25"/>
  <c r="AJ132" i="25" s="1"/>
  <c r="AS132" i="25"/>
  <c r="AT132" i="25"/>
  <c r="AP151" i="25"/>
  <c r="AP150" i="25"/>
  <c r="AF151" i="25"/>
  <c r="AC118" i="25"/>
  <c r="AS118" i="25"/>
  <c r="AT118" i="25"/>
  <c r="AT156" i="25"/>
  <c r="AS156" i="25"/>
  <c r="AK123" i="25"/>
  <c r="AS123" i="25"/>
  <c r="AP94" i="25"/>
  <c r="AP93" i="25"/>
  <c r="AF94" i="25"/>
  <c r="AP155" i="25"/>
  <c r="AW142" i="25"/>
  <c r="AP131" i="25"/>
  <c r="AF123" i="25"/>
  <c r="AI118" i="25"/>
  <c r="AR113" i="25"/>
  <c r="AD104" i="25"/>
  <c r="Z104" i="25" s="1"/>
  <c r="AG99" i="25"/>
  <c r="R99" i="25"/>
  <c r="AJ99" i="25" s="1"/>
  <c r="D93" i="25"/>
  <c r="B324" i="11" s="1"/>
  <c r="AP156" i="25"/>
  <c r="AP113" i="25"/>
  <c r="U161" i="25"/>
  <c r="K155" i="25"/>
  <c r="T137" i="25"/>
  <c r="T146" i="25" s="1"/>
  <c r="AD123" i="25"/>
  <c r="Z123" i="25" s="1"/>
  <c r="R118" i="25"/>
  <c r="D112" i="25"/>
  <c r="B325" i="11" s="1"/>
  <c r="AP104" i="25"/>
  <c r="E104" i="25"/>
  <c r="P99" i="25"/>
  <c r="H97" i="25"/>
  <c r="AE99" i="25" s="1"/>
  <c r="AC99" i="25" s="1"/>
  <c r="S137" i="25"/>
  <c r="S146" i="25" s="1"/>
  <c r="AP132" i="25"/>
  <c r="AR123" i="25"/>
  <c r="E97" i="25"/>
  <c r="AD99" i="25" s="1"/>
  <c r="AR142" i="25"/>
  <c r="AP103" i="25"/>
  <c r="AP98" i="25"/>
  <c r="E116" i="25"/>
  <c r="AD118" i="25" s="1"/>
  <c r="E137" i="25"/>
  <c r="F135" i="25"/>
  <c r="AP117" i="25"/>
  <c r="AF113" i="25"/>
  <c r="W99" i="25"/>
  <c r="AP161" i="25"/>
  <c r="E161" i="25"/>
  <c r="H154" i="25"/>
  <c r="AE156" i="25" s="1"/>
  <c r="AH104" i="25"/>
  <c r="AI104" i="25" s="1"/>
  <c r="U104" i="25"/>
  <c r="C103" i="25"/>
  <c r="K98" i="25"/>
  <c r="F154" i="25"/>
  <c r="AD156" i="25" s="1"/>
  <c r="W118" i="25"/>
  <c r="B103" i="25"/>
  <c r="U99" i="25"/>
  <c r="B98" i="25"/>
  <c r="AR99" i="25" s="1"/>
  <c r="AS56" i="25"/>
  <c r="AT56" i="25"/>
  <c r="AP80" i="25"/>
  <c r="AF80" i="25"/>
  <c r="AP79" i="25"/>
  <c r="AS80" i="25"/>
  <c r="AT80" i="25"/>
  <c r="AC75" i="25"/>
  <c r="AP75" i="25"/>
  <c r="AD85" i="25"/>
  <c r="Z85" i="25" s="1"/>
  <c r="D74" i="25"/>
  <c r="B323" i="11" s="1"/>
  <c r="AP66" i="25"/>
  <c r="E66" i="25"/>
  <c r="P61" i="25"/>
  <c r="H59" i="25"/>
  <c r="AE61" i="25" s="1"/>
  <c r="AP65" i="25"/>
  <c r="AP60" i="25"/>
  <c r="AP85" i="25"/>
  <c r="E78" i="25"/>
  <c r="AD80" i="25" s="1"/>
  <c r="AC80" i="25" s="1"/>
  <c r="AR85" i="25"/>
  <c r="AF75" i="25"/>
  <c r="W61" i="25"/>
  <c r="AH66" i="25"/>
  <c r="AI66" i="25" s="1"/>
  <c r="U66" i="25"/>
  <c r="C65" i="25"/>
  <c r="K60" i="25"/>
  <c r="E59" i="25"/>
  <c r="AD61" i="25" s="1"/>
  <c r="W80" i="25"/>
  <c r="B65" i="25"/>
  <c r="U61" i="25"/>
  <c r="B60" i="25"/>
  <c r="AR61" i="25" s="1"/>
  <c r="AP41" i="25"/>
  <c r="AP42" i="25"/>
  <c r="AF42" i="25"/>
  <c r="AS37" i="25"/>
  <c r="T51" i="25"/>
  <c r="R42" i="25"/>
  <c r="AP47" i="25"/>
  <c r="E47" i="25"/>
  <c r="P42" i="25"/>
  <c r="H40" i="25"/>
  <c r="AE42" i="25" s="1"/>
  <c r="E40" i="25"/>
  <c r="AD42" i="25" s="1"/>
  <c r="W42" i="25"/>
  <c r="AP46" i="25"/>
  <c r="AH47" i="25"/>
  <c r="AI47" i="25" s="1"/>
  <c r="U47" i="25"/>
  <c r="C46" i="25"/>
  <c r="K41" i="25"/>
  <c r="B46" i="25"/>
  <c r="U42" i="25"/>
  <c r="AR42" i="25"/>
  <c r="W23" i="25"/>
  <c r="E21" i="25"/>
  <c r="F21" i="25" s="1"/>
  <c r="H21" i="25"/>
  <c r="AE18" i="25"/>
  <c r="K22" i="25"/>
  <c r="AB23" i="25"/>
  <c r="AP23" i="25" s="1"/>
  <c r="AP27" i="25"/>
  <c r="AT131" i="3"/>
  <c r="AV131" i="3"/>
  <c r="AS131" i="3"/>
  <c r="AU131" i="3"/>
  <c r="D99" i="6"/>
  <c r="D29" i="11"/>
  <c r="AO139" i="6"/>
  <c r="AH131" i="3"/>
  <c r="AN79" i="4"/>
  <c r="BL139" i="4"/>
  <c r="AP108" i="13"/>
  <c r="AQ128" i="13"/>
  <c r="AS82" i="20"/>
  <c r="AY62" i="20"/>
  <c r="AX138" i="20"/>
  <c r="AU130" i="20"/>
  <c r="AY94" i="20"/>
  <c r="AM99" i="3"/>
  <c r="AF139" i="3"/>
  <c r="AG131" i="3"/>
  <c r="AO71" i="2"/>
  <c r="AO139" i="2"/>
  <c r="AO123" i="2"/>
  <c r="BG139" i="4"/>
  <c r="AX139" i="4"/>
  <c r="BF103" i="4"/>
  <c r="BI103" i="4" s="1"/>
  <c r="AR103" i="4"/>
  <c r="AR108" i="13"/>
  <c r="AR88" i="13"/>
  <c r="AU138" i="20"/>
  <c r="BF122" i="20"/>
  <c r="BJ122" i="20" s="1"/>
  <c r="E122" i="20"/>
  <c r="D314" i="11"/>
  <c r="AZ122" i="20"/>
  <c r="AU94" i="20"/>
  <c r="AX94" i="20"/>
  <c r="AY102" i="1"/>
  <c r="BA102" i="1" s="1"/>
  <c r="AH119" i="3"/>
  <c r="AF131" i="3"/>
  <c r="AZ75" i="2"/>
  <c r="AQ115" i="2"/>
  <c r="AM83" i="4"/>
  <c r="AR135" i="4"/>
  <c r="AS115" i="4"/>
  <c r="AP76" i="13"/>
  <c r="AO56" i="13"/>
  <c r="AP112" i="13"/>
  <c r="AO140" i="13"/>
  <c r="AT138" i="20"/>
  <c r="AZ106" i="20"/>
  <c r="AR18" i="25"/>
  <c r="AT18" i="25" s="1"/>
  <c r="C27" i="25"/>
  <c r="AS28" i="25" s="1"/>
  <c r="AW28" i="25" s="1"/>
  <c r="B22" i="25"/>
  <c r="AR23" i="25" s="1"/>
  <c r="AT23" i="25" s="1"/>
  <c r="D103" i="6"/>
  <c r="D30" i="11"/>
  <c r="AM114" i="1"/>
  <c r="AK99" i="3"/>
  <c r="AP143" i="2"/>
  <c r="AP115" i="2"/>
  <c r="AO91" i="2"/>
  <c r="AV99" i="4"/>
  <c r="AV139" i="4"/>
  <c r="AV135" i="4"/>
  <c r="AW135" i="4"/>
  <c r="AX131" i="4"/>
  <c r="AQ64" i="13"/>
  <c r="AX56" i="13"/>
  <c r="AY56" i="13" s="1"/>
  <c r="AP136" i="13"/>
  <c r="AS62" i="20"/>
  <c r="AU122" i="20"/>
  <c r="AX98" i="20"/>
  <c r="AT94" i="20"/>
  <c r="B27" i="25"/>
  <c r="AJ28" i="25" s="1"/>
  <c r="AH87" i="3"/>
  <c r="AH111" i="3"/>
  <c r="AH95" i="3"/>
  <c r="AF135" i="3"/>
  <c r="AO135" i="2"/>
  <c r="AO103" i="2"/>
  <c r="BJ127" i="4"/>
  <c r="AW138" i="20"/>
  <c r="BG134" i="20"/>
  <c r="BI134" i="20" s="1"/>
  <c r="AW126" i="20"/>
  <c r="D37" i="11"/>
  <c r="D64" i="5"/>
  <c r="D175" i="11"/>
  <c r="AR143" i="2"/>
  <c r="AR115" i="2"/>
  <c r="D128" i="5"/>
  <c r="D191" i="11"/>
  <c r="AP116" i="13"/>
  <c r="AL123" i="3"/>
  <c r="AF99" i="3"/>
  <c r="AQ139" i="2"/>
  <c r="F99" i="13"/>
  <c r="B215" i="11" s="1"/>
  <c r="AP140" i="13"/>
  <c r="AS70" i="20"/>
  <c r="AS126" i="20"/>
  <c r="BI118" i="20"/>
  <c r="AL139" i="3"/>
  <c r="AR99" i="2"/>
  <c r="F67" i="13"/>
  <c r="B207" i="11" s="1"/>
  <c r="AW90" i="20"/>
  <c r="AY82" i="20"/>
  <c r="AX118" i="20"/>
  <c r="AU114" i="20"/>
  <c r="AS106" i="20"/>
  <c r="AW102" i="20"/>
  <c r="BG94" i="20"/>
  <c r="BI94" i="20" s="1"/>
  <c r="D308" i="11"/>
  <c r="D75" i="6"/>
  <c r="D23" i="11"/>
  <c r="AK95" i="3"/>
  <c r="AI95" i="3"/>
  <c r="AJ139" i="3"/>
  <c r="AJ131" i="3"/>
  <c r="AV107" i="4"/>
  <c r="AX80" i="13"/>
  <c r="AY80" i="13" s="1"/>
  <c r="AO108" i="13"/>
  <c r="AO104" i="13"/>
  <c r="AZ118" i="20"/>
  <c r="AV118" i="20"/>
  <c r="AM87" i="3"/>
  <c r="AM127" i="3"/>
  <c r="AF111" i="3"/>
  <c r="AH139" i="3"/>
  <c r="AX108" i="13"/>
  <c r="AY108" i="13" s="1"/>
  <c r="AQ96" i="13"/>
  <c r="AZ138" i="20"/>
  <c r="AW130" i="20"/>
  <c r="AX126" i="20"/>
  <c r="AT118" i="20"/>
  <c r="BK106" i="20"/>
  <c r="K17" i="25"/>
  <c r="AB18" i="25"/>
  <c r="AF18" i="25" s="1"/>
  <c r="AG18" i="25" s="1"/>
  <c r="AC28" i="25"/>
  <c r="AF28" i="25" s="1"/>
  <c r="AP28" i="25"/>
  <c r="AN22" i="24"/>
  <c r="AP22" i="24"/>
  <c r="AX22" i="24"/>
  <c r="AZ22" i="24" s="1"/>
  <c r="AJ22" i="24"/>
  <c r="AM22" i="24"/>
  <c r="AU21" i="24"/>
  <c r="AO22" i="24"/>
  <c r="AW22" i="24"/>
  <c r="AA22" i="24"/>
  <c r="AI22" i="24"/>
  <c r="AK22" i="24"/>
  <c r="AI135" i="6"/>
  <c r="AK139" i="6"/>
  <c r="AM139" i="6"/>
  <c r="AL139" i="6"/>
  <c r="AZ66" i="20"/>
  <c r="AZ58" i="20"/>
  <c r="AG138" i="20"/>
  <c r="AG122" i="20"/>
  <c r="AW118" i="20"/>
  <c r="AZ62" i="20"/>
  <c r="AW58" i="20"/>
  <c r="BH138" i="20"/>
  <c r="AS118" i="20"/>
  <c r="J116" i="20"/>
  <c r="AL118" i="20" s="1"/>
  <c r="AJ118" i="20" s="1"/>
  <c r="AV98" i="20"/>
  <c r="AZ98" i="20"/>
  <c r="AS94" i="20"/>
  <c r="BF130" i="20"/>
  <c r="BH130" i="20" s="1"/>
  <c r="AA118" i="20"/>
  <c r="BG102" i="20"/>
  <c r="BI102" i="20" s="1"/>
  <c r="AT122" i="20"/>
  <c r="BF118" i="20"/>
  <c r="BH118" i="20" s="1"/>
  <c r="AV114" i="20"/>
  <c r="AV102" i="20"/>
  <c r="AW98" i="20"/>
  <c r="AT98" i="20"/>
  <c r="AS138" i="20"/>
  <c r="AW134" i="20"/>
  <c r="AY130" i="20"/>
  <c r="AS114" i="20"/>
  <c r="AY110" i="20"/>
  <c r="BI106" i="20"/>
  <c r="AX106" i="20"/>
  <c r="AG98" i="20"/>
  <c r="AZ94" i="20"/>
  <c r="F105" i="20"/>
  <c r="B310" i="11" s="1"/>
  <c r="AV134" i="20"/>
  <c r="AH134" i="20"/>
  <c r="AM134" i="20" s="1"/>
  <c r="AN134" i="20" s="1"/>
  <c r="AA134" i="20" s="1"/>
  <c r="J132" i="20"/>
  <c r="AL134" i="20" s="1"/>
  <c r="AJ134" i="20" s="1"/>
  <c r="AH114" i="20"/>
  <c r="AM114" i="20" s="1"/>
  <c r="AN114" i="20" s="1"/>
  <c r="AA114" i="20" s="1"/>
  <c r="J112" i="20"/>
  <c r="AL114" i="20" s="1"/>
  <c r="AJ114" i="20" s="1"/>
  <c r="AW110" i="20"/>
  <c r="AV78" i="20"/>
  <c r="BJ138" i="20"/>
  <c r="AU134" i="20"/>
  <c r="AG134" i="20"/>
  <c r="AX134" i="20"/>
  <c r="AV130" i="20"/>
  <c r="AG114" i="20"/>
  <c r="AW114" i="20"/>
  <c r="AS110" i="20"/>
  <c r="AX110" i="20"/>
  <c r="AH106" i="20"/>
  <c r="AM106" i="20" s="1"/>
  <c r="AN106" i="20" s="1"/>
  <c r="AA106" i="20" s="1"/>
  <c r="I104" i="20"/>
  <c r="J104" i="20" s="1"/>
  <c r="AT102" i="20"/>
  <c r="AQ110" i="20"/>
  <c r="AA110" i="20"/>
  <c r="E130" i="20"/>
  <c r="AQ126" i="20"/>
  <c r="AA126" i="20"/>
  <c r="BJ126" i="20"/>
  <c r="BH126" i="20"/>
  <c r="E110" i="20"/>
  <c r="AQ102" i="20"/>
  <c r="AA102" i="20"/>
  <c r="BH102" i="20"/>
  <c r="BJ102" i="20"/>
  <c r="AQ130" i="20"/>
  <c r="AA130" i="20"/>
  <c r="AN138" i="20"/>
  <c r="AA138" i="20" s="1"/>
  <c r="E126" i="20"/>
  <c r="AN122" i="20"/>
  <c r="AA122" i="20" s="1"/>
  <c r="E102" i="20"/>
  <c r="AQ98" i="20"/>
  <c r="BJ110" i="20"/>
  <c r="BH110" i="20"/>
  <c r="J128" i="20"/>
  <c r="AL130" i="20" s="1"/>
  <c r="AJ130" i="20" s="1"/>
  <c r="AN94" i="20"/>
  <c r="AA94" i="20" s="1"/>
  <c r="AQ138" i="20"/>
  <c r="AQ122" i="20"/>
  <c r="F101" i="20"/>
  <c r="B309" i="11" s="1"/>
  <c r="E134" i="20"/>
  <c r="E114" i="20"/>
  <c r="E106" i="20"/>
  <c r="AN98" i="20"/>
  <c r="AA98" i="20" s="1"/>
  <c r="BI138" i="20"/>
  <c r="AZ134" i="20"/>
  <c r="AT130" i="20"/>
  <c r="BG126" i="20"/>
  <c r="AV126" i="20"/>
  <c r="BI122" i="20"/>
  <c r="BK118" i="20"/>
  <c r="AT114" i="20"/>
  <c r="BG110" i="20"/>
  <c r="AV110" i="20"/>
  <c r="AS102" i="20"/>
  <c r="BF98" i="20"/>
  <c r="BH94" i="20"/>
  <c r="AW94" i="20"/>
  <c r="AY134" i="20"/>
  <c r="AU126" i="20"/>
  <c r="AY118" i="20"/>
  <c r="AU110" i="20"/>
  <c r="J108" i="20"/>
  <c r="AZ102" i="20"/>
  <c r="I96" i="20"/>
  <c r="J96" i="20" s="1"/>
  <c r="E94" i="20"/>
  <c r="AV138" i="20"/>
  <c r="AZ130" i="20"/>
  <c r="AT126" i="20"/>
  <c r="I124" i="20"/>
  <c r="J124" i="20" s="1"/>
  <c r="AV122" i="20"/>
  <c r="AZ114" i="20"/>
  <c r="AT110" i="20"/>
  <c r="I108" i="20"/>
  <c r="AY102" i="20"/>
  <c r="AS98" i="20"/>
  <c r="J92" i="20"/>
  <c r="AL94" i="20" s="1"/>
  <c r="AJ94" i="20" s="1"/>
  <c r="BJ114" i="20"/>
  <c r="AL106" i="20"/>
  <c r="AJ106" i="20" s="1"/>
  <c r="AX102" i="20"/>
  <c r="BK98" i="20"/>
  <c r="I136" i="20"/>
  <c r="J136" i="20" s="1"/>
  <c r="F137" i="20" s="1"/>
  <c r="B318" i="11" s="1"/>
  <c r="AX130" i="20"/>
  <c r="AZ126" i="20"/>
  <c r="I120" i="20"/>
  <c r="AX114" i="20"/>
  <c r="AZ110" i="20"/>
  <c r="AY98" i="20"/>
  <c r="AL102" i="20"/>
  <c r="AJ102" i="20" s="1"/>
  <c r="BG130" i="20"/>
  <c r="BG114" i="20"/>
  <c r="BF90" i="20"/>
  <c r="AX90" i="20"/>
  <c r="AW86" i="20"/>
  <c r="BJ86" i="20"/>
  <c r="BF78" i="20"/>
  <c r="BJ78" i="20" s="1"/>
  <c r="BI62" i="20"/>
  <c r="AS86" i="20"/>
  <c r="AW82" i="20"/>
  <c r="AT58" i="20"/>
  <c r="AT82" i="20"/>
  <c r="AU78" i="20"/>
  <c r="AZ70" i="20"/>
  <c r="I60" i="20"/>
  <c r="AS58" i="20"/>
  <c r="AW70" i="20"/>
  <c r="AH62" i="20"/>
  <c r="AM62" i="20" s="1"/>
  <c r="AN62" i="20" s="1"/>
  <c r="AA62" i="20" s="1"/>
  <c r="AW62" i="20"/>
  <c r="AH58" i="20"/>
  <c r="AM58" i="20" s="1"/>
  <c r="AP59" i="20" s="1"/>
  <c r="AQ58" i="20" s="1"/>
  <c r="AS90" i="20"/>
  <c r="AZ86" i="20"/>
  <c r="AS78" i="20"/>
  <c r="AH66" i="20"/>
  <c r="AM66" i="20" s="1"/>
  <c r="AN66" i="20" s="1"/>
  <c r="AA66" i="20" s="1"/>
  <c r="AV62" i="20"/>
  <c r="AG58" i="20"/>
  <c r="BJ74" i="20"/>
  <c r="BH74" i="20"/>
  <c r="BH66" i="20"/>
  <c r="BJ66" i="20"/>
  <c r="BH82" i="20"/>
  <c r="BJ82" i="20"/>
  <c r="AU62" i="20"/>
  <c r="AY58" i="20"/>
  <c r="AY86" i="20"/>
  <c r="AT78" i="20"/>
  <c r="BF70" i="20"/>
  <c r="AY66" i="20"/>
  <c r="AT62" i="20"/>
  <c r="AX58" i="20"/>
  <c r="AH82" i="20"/>
  <c r="AM82" i="20" s="1"/>
  <c r="AN82" i="20" s="1"/>
  <c r="AA82" i="20" s="1"/>
  <c r="AX74" i="20"/>
  <c r="AG70" i="20"/>
  <c r="AW66" i="20"/>
  <c r="AT66" i="20"/>
  <c r="AV58" i="20"/>
  <c r="AY90" i="20"/>
  <c r="AY74" i="20"/>
  <c r="AY70" i="20"/>
  <c r="BH62" i="20"/>
  <c r="AX62" i="20"/>
  <c r="AU58" i="20"/>
  <c r="AW78" i="20"/>
  <c r="I76" i="20"/>
  <c r="J76" i="20" s="1"/>
  <c r="F77" i="20" s="1"/>
  <c r="B303" i="11" s="1"/>
  <c r="AX70" i="20"/>
  <c r="AS66" i="20"/>
  <c r="BG58" i="20"/>
  <c r="AZ82" i="20"/>
  <c r="AG78" i="20"/>
  <c r="AV66" i="20"/>
  <c r="J60" i="20"/>
  <c r="F61" i="20" s="1"/>
  <c r="B299" i="11" s="1"/>
  <c r="BF58" i="20"/>
  <c r="AN86" i="20"/>
  <c r="AA86" i="20" s="1"/>
  <c r="AQ70" i="20"/>
  <c r="E66" i="20"/>
  <c r="AQ82" i="20"/>
  <c r="E82" i="20"/>
  <c r="AQ78" i="20"/>
  <c r="E62" i="20"/>
  <c r="AQ90" i="20"/>
  <c r="E78" i="20"/>
  <c r="AQ74" i="20"/>
  <c r="AN70" i="20"/>
  <c r="AA70" i="20" s="1"/>
  <c r="E86" i="20"/>
  <c r="E90" i="20"/>
  <c r="AQ86" i="20"/>
  <c r="E74" i="20"/>
  <c r="AQ62" i="20"/>
  <c r="BG90" i="20"/>
  <c r="AV90" i="20"/>
  <c r="AX86" i="20"/>
  <c r="BG74" i="20"/>
  <c r="AV74" i="20"/>
  <c r="AU90" i="20"/>
  <c r="AU74" i="20"/>
  <c r="E58" i="20"/>
  <c r="AT90" i="20"/>
  <c r="I88" i="20"/>
  <c r="BG86" i="20"/>
  <c r="AV86" i="20"/>
  <c r="AX82" i="20"/>
  <c r="AZ78" i="20"/>
  <c r="AH78" i="20"/>
  <c r="AM78" i="20" s="1"/>
  <c r="AT74" i="20"/>
  <c r="I72" i="20"/>
  <c r="BG70" i="20"/>
  <c r="AV70" i="20"/>
  <c r="E70" i="20"/>
  <c r="AX66" i="20"/>
  <c r="BK62" i="20"/>
  <c r="J56" i="20"/>
  <c r="AL58" i="20" s="1"/>
  <c r="AJ58" i="20" s="1"/>
  <c r="AU86" i="20"/>
  <c r="AS74" i="20"/>
  <c r="BJ62" i="20"/>
  <c r="AZ90" i="20"/>
  <c r="AH90" i="20"/>
  <c r="AM90" i="20" s="1"/>
  <c r="AT86" i="20"/>
  <c r="I84" i="20"/>
  <c r="BG82" i="20"/>
  <c r="AV82" i="20"/>
  <c r="AX78" i="20"/>
  <c r="AZ74" i="20"/>
  <c r="AH74" i="20"/>
  <c r="AM74" i="20" s="1"/>
  <c r="AT70" i="20"/>
  <c r="I68" i="20"/>
  <c r="BG66" i="20"/>
  <c r="AU82" i="20"/>
  <c r="J80" i="20"/>
  <c r="AL82" i="20" s="1"/>
  <c r="AJ82" i="20" s="1"/>
  <c r="J64" i="20"/>
  <c r="F65" i="20" s="1"/>
  <c r="B300" i="11" s="1"/>
  <c r="BG78" i="20"/>
  <c r="F119" i="14"/>
  <c r="B251" i="11" s="1"/>
  <c r="W80" i="14"/>
  <c r="X80" i="14" s="1"/>
  <c r="W56" i="14"/>
  <c r="X56" i="14" s="1"/>
  <c r="F139" i="14"/>
  <c r="B256" i="11" s="1"/>
  <c r="F71" i="14"/>
  <c r="B239" i="11" s="1"/>
  <c r="F63" i="14"/>
  <c r="B237" i="11" s="1"/>
  <c r="F131" i="14"/>
  <c r="B254" i="11" s="1"/>
  <c r="W120" i="14"/>
  <c r="X120" i="14" s="1"/>
  <c r="F103" i="14"/>
  <c r="B247" i="11" s="1"/>
  <c r="F123" i="14"/>
  <c r="B252" i="11" s="1"/>
  <c r="F111" i="14"/>
  <c r="B249" i="11" s="1"/>
  <c r="AV84" i="14"/>
  <c r="AV72" i="14"/>
  <c r="W64" i="14"/>
  <c r="X64" i="14" s="1"/>
  <c r="W140" i="14"/>
  <c r="X140" i="14" s="1"/>
  <c r="W124" i="14"/>
  <c r="X124" i="14" s="1"/>
  <c r="W108" i="14"/>
  <c r="X108" i="14" s="1"/>
  <c r="W92" i="14"/>
  <c r="X92" i="14" s="1"/>
  <c r="W84" i="14"/>
  <c r="X84" i="14" s="1"/>
  <c r="W68" i="14"/>
  <c r="X68" i="14" s="1"/>
  <c r="AI132" i="14"/>
  <c r="Y132" i="14" s="1"/>
  <c r="AK132" i="14"/>
  <c r="AL132" i="14" s="1"/>
  <c r="AI116" i="14"/>
  <c r="Y116" i="14" s="1"/>
  <c r="AK116" i="14"/>
  <c r="AL116" i="14" s="1"/>
  <c r="AI100" i="14"/>
  <c r="Y100" i="14" s="1"/>
  <c r="AK100" i="14"/>
  <c r="AL100" i="14" s="1"/>
  <c r="AI104" i="14"/>
  <c r="Y104" i="14" s="1"/>
  <c r="AK104" i="14"/>
  <c r="AL104" i="14" s="1"/>
  <c r="AI140" i="14"/>
  <c r="AK140" i="14"/>
  <c r="AI124" i="14"/>
  <c r="AK124" i="14"/>
  <c r="AI108" i="14"/>
  <c r="Y108" i="14" s="1"/>
  <c r="AK108" i="14"/>
  <c r="AI92" i="14"/>
  <c r="AK92" i="14"/>
  <c r="AI136" i="14"/>
  <c r="Y136" i="14" s="1"/>
  <c r="AK136" i="14"/>
  <c r="AL136" i="14" s="1"/>
  <c r="AI120" i="14"/>
  <c r="AK120" i="14"/>
  <c r="AI88" i="14"/>
  <c r="Y88" i="14" s="1"/>
  <c r="AK88" i="14"/>
  <c r="AL88" i="14" s="1"/>
  <c r="AI128" i="14"/>
  <c r="Y128" i="14" s="1"/>
  <c r="AK128" i="14"/>
  <c r="AL128" i="14" s="1"/>
  <c r="AI112" i="14"/>
  <c r="Y112" i="14" s="1"/>
  <c r="AK112" i="14"/>
  <c r="AL112" i="14" s="1"/>
  <c r="AI96" i="14"/>
  <c r="Y96" i="14" s="1"/>
  <c r="AK96" i="14"/>
  <c r="AL96" i="14" s="1"/>
  <c r="AX140" i="14"/>
  <c r="D140" i="14"/>
  <c r="AX136" i="14"/>
  <c r="D136" i="14"/>
  <c r="AX132" i="14"/>
  <c r="D132" i="14"/>
  <c r="AX128" i="14"/>
  <c r="D128" i="14"/>
  <c r="AX124" i="14"/>
  <c r="D124" i="14"/>
  <c r="AX120" i="14"/>
  <c r="D120" i="14"/>
  <c r="AX116" i="14"/>
  <c r="D116" i="14"/>
  <c r="AX112" i="14"/>
  <c r="D112" i="14"/>
  <c r="AX108" i="14"/>
  <c r="D108" i="14"/>
  <c r="AX104" i="14"/>
  <c r="D104" i="14"/>
  <c r="AX100" i="14"/>
  <c r="D100" i="14"/>
  <c r="AX96" i="14"/>
  <c r="D96" i="14"/>
  <c r="AX92" i="14"/>
  <c r="D92" i="14"/>
  <c r="AX88" i="14"/>
  <c r="D88" i="14"/>
  <c r="AV140" i="14"/>
  <c r="AV136" i="14"/>
  <c r="AV132" i="14"/>
  <c r="AV128" i="14"/>
  <c r="AV124" i="14"/>
  <c r="AV120" i="14"/>
  <c r="AV116" i="14"/>
  <c r="AV112" i="14"/>
  <c r="AV108" i="14"/>
  <c r="AV104" i="14"/>
  <c r="AV100" i="14"/>
  <c r="AV96" i="14"/>
  <c r="AV92" i="14"/>
  <c r="AV88" i="14"/>
  <c r="AR140" i="14"/>
  <c r="AR136" i="14"/>
  <c r="AR132" i="14"/>
  <c r="AR128" i="14"/>
  <c r="AR124" i="14"/>
  <c r="AR120" i="14"/>
  <c r="AR116" i="14"/>
  <c r="AR112" i="14"/>
  <c r="AR108" i="14"/>
  <c r="AR104" i="14"/>
  <c r="AR100" i="14"/>
  <c r="AR96" i="14"/>
  <c r="AR92" i="14"/>
  <c r="AR88" i="14"/>
  <c r="AQ140" i="14"/>
  <c r="AQ136" i="14"/>
  <c r="AQ132" i="14"/>
  <c r="AQ128" i="14"/>
  <c r="AQ124" i="14"/>
  <c r="AQ120" i="14"/>
  <c r="AQ116" i="14"/>
  <c r="AQ112" i="14"/>
  <c r="AQ108" i="14"/>
  <c r="AQ104" i="14"/>
  <c r="AQ100" i="14"/>
  <c r="AQ96" i="14"/>
  <c r="AQ92" i="14"/>
  <c r="AQ88" i="14"/>
  <c r="AP140" i="14"/>
  <c r="AP136" i="14"/>
  <c r="AP132" i="14"/>
  <c r="AP128" i="14"/>
  <c r="AP124" i="14"/>
  <c r="AP120" i="14"/>
  <c r="AP116" i="14"/>
  <c r="AP112" i="14"/>
  <c r="AP108" i="14"/>
  <c r="AP104" i="14"/>
  <c r="AP100" i="14"/>
  <c r="AP96" i="14"/>
  <c r="AP92" i="14"/>
  <c r="AP88" i="14"/>
  <c r="AO140" i="14"/>
  <c r="AO136" i="14"/>
  <c r="AO132" i="14"/>
  <c r="AO128" i="14"/>
  <c r="AO124" i="14"/>
  <c r="AO120" i="14"/>
  <c r="AO116" i="14"/>
  <c r="AO112" i="14"/>
  <c r="AO108" i="14"/>
  <c r="AO104" i="14"/>
  <c r="AO100" i="14"/>
  <c r="AO96" i="14"/>
  <c r="AO92" i="14"/>
  <c r="AO88" i="14"/>
  <c r="AI84" i="14"/>
  <c r="AK84" i="14"/>
  <c r="D80" i="14"/>
  <c r="AI72" i="14"/>
  <c r="Y72" i="14" s="1"/>
  <c r="AK72" i="14"/>
  <c r="AL72" i="14" s="1"/>
  <c r="D64" i="14"/>
  <c r="AI56" i="14"/>
  <c r="AK56" i="14"/>
  <c r="D76" i="14"/>
  <c r="D60" i="14"/>
  <c r="D84" i="14"/>
  <c r="AI76" i="14"/>
  <c r="Y76" i="14" s="1"/>
  <c r="AK76" i="14"/>
  <c r="AL76" i="14" s="1"/>
  <c r="D68" i="14"/>
  <c r="AI60" i="14"/>
  <c r="Y60" i="14" s="1"/>
  <c r="AK60" i="14"/>
  <c r="AL60" i="14" s="1"/>
  <c r="AI68" i="14"/>
  <c r="AK68" i="14"/>
  <c r="AI80" i="14"/>
  <c r="AK80" i="14"/>
  <c r="D72" i="14"/>
  <c r="AI64" i="14"/>
  <c r="Y64" i="14" s="1"/>
  <c r="AK64" i="14"/>
  <c r="D56" i="14"/>
  <c r="AX84" i="14"/>
  <c r="AX80" i="14"/>
  <c r="AX76" i="14"/>
  <c r="AX72" i="14"/>
  <c r="AX68" i="14"/>
  <c r="AX64" i="14"/>
  <c r="AX60" i="14"/>
  <c r="AX56" i="14"/>
  <c r="AR84" i="14"/>
  <c r="AR80" i="14"/>
  <c r="AR76" i="14"/>
  <c r="AR72" i="14"/>
  <c r="AR68" i="14"/>
  <c r="AR64" i="14"/>
  <c r="AR60" i="14"/>
  <c r="AR56" i="14"/>
  <c r="AQ84" i="14"/>
  <c r="AQ80" i="14"/>
  <c r="AQ76" i="14"/>
  <c r="AQ72" i="14"/>
  <c r="AQ68" i="14"/>
  <c r="AQ64" i="14"/>
  <c r="AQ60" i="14"/>
  <c r="AQ56" i="14"/>
  <c r="AP84" i="14"/>
  <c r="AP80" i="14"/>
  <c r="AP76" i="14"/>
  <c r="AP72" i="14"/>
  <c r="AP68" i="14"/>
  <c r="AP64" i="14"/>
  <c r="AP60" i="14"/>
  <c r="AP56" i="14"/>
  <c r="AO84" i="14"/>
  <c r="AO80" i="14"/>
  <c r="AO76" i="14"/>
  <c r="AO72" i="14"/>
  <c r="AO68" i="14"/>
  <c r="AO64" i="14"/>
  <c r="AO60" i="14"/>
  <c r="AO56" i="14"/>
  <c r="AI108" i="13"/>
  <c r="AI92" i="13"/>
  <c r="AK92" i="13"/>
  <c r="U124" i="13"/>
  <c r="V124" i="13" s="1"/>
  <c r="D221" i="11" s="1"/>
  <c r="AT124" i="13"/>
  <c r="F115" i="13"/>
  <c r="B219" i="11" s="1"/>
  <c r="AE140" i="13"/>
  <c r="AO84" i="13"/>
  <c r="AR80" i="13"/>
  <c r="AR112" i="13"/>
  <c r="AO92" i="13"/>
  <c r="AX88" i="13"/>
  <c r="AY88" i="13" s="1"/>
  <c r="AV128" i="13"/>
  <c r="E138" i="13"/>
  <c r="U140" i="13" s="1"/>
  <c r="V140" i="13" s="1"/>
  <c r="D225" i="11" s="1"/>
  <c r="AY112" i="13"/>
  <c r="AD92" i="13"/>
  <c r="AQ112" i="13"/>
  <c r="AX96" i="13"/>
  <c r="AY96" i="13" s="1"/>
  <c r="AQ88" i="13"/>
  <c r="AO128" i="13"/>
  <c r="AP124" i="13"/>
  <c r="AX136" i="13"/>
  <c r="AY136" i="13" s="1"/>
  <c r="E90" i="13"/>
  <c r="AO72" i="13"/>
  <c r="AQ120" i="13"/>
  <c r="E118" i="13"/>
  <c r="AO112" i="13"/>
  <c r="AP96" i="13"/>
  <c r="AR92" i="13"/>
  <c r="AP88" i="13"/>
  <c r="F123" i="13"/>
  <c r="B221" i="11" s="1"/>
  <c r="AV136" i="13"/>
  <c r="AO80" i="13"/>
  <c r="AY72" i="13"/>
  <c r="AQ104" i="13"/>
  <c r="E102" i="13"/>
  <c r="AO96" i="13"/>
  <c r="AO88" i="13"/>
  <c r="AR128" i="13"/>
  <c r="E126" i="13"/>
  <c r="AX140" i="13"/>
  <c r="AY140" i="13" s="1"/>
  <c r="AO136" i="13"/>
  <c r="AX120" i="13"/>
  <c r="AY120" i="13" s="1"/>
  <c r="E110" i="13"/>
  <c r="E106" i="13"/>
  <c r="W108" i="13" s="1"/>
  <c r="X108" i="13" s="1"/>
  <c r="AO100" i="13"/>
  <c r="AX124" i="13"/>
  <c r="AY124" i="13" s="1"/>
  <c r="AR140" i="13"/>
  <c r="E114" i="13"/>
  <c r="AT116" i="13" s="1"/>
  <c r="E94" i="13"/>
  <c r="AQ140" i="13"/>
  <c r="AR132" i="13"/>
  <c r="AI140" i="13"/>
  <c r="AK140" i="13"/>
  <c r="U136" i="13"/>
  <c r="V136" i="13" s="1"/>
  <c r="D224" i="11" s="1"/>
  <c r="AT136" i="13"/>
  <c r="AK132" i="13"/>
  <c r="AI132" i="13"/>
  <c r="AK136" i="13"/>
  <c r="AI136" i="13"/>
  <c r="U132" i="13"/>
  <c r="V132" i="13" s="1"/>
  <c r="D223" i="11" s="1"/>
  <c r="F131" i="13"/>
  <c r="B223" i="11" s="1"/>
  <c r="W132" i="13"/>
  <c r="X132" i="13" s="1"/>
  <c r="AT132" i="13"/>
  <c r="AR136" i="13"/>
  <c r="AV132" i="13"/>
  <c r="AQ136" i="13"/>
  <c r="W136" i="13"/>
  <c r="X136" i="13" s="1"/>
  <c r="F135" i="13"/>
  <c r="B224" i="11" s="1"/>
  <c r="AV140" i="13"/>
  <c r="AZ132" i="13"/>
  <c r="AK124" i="13"/>
  <c r="AI124" i="13"/>
  <c r="U128" i="13"/>
  <c r="V128" i="13" s="1"/>
  <c r="D222" i="11" s="1"/>
  <c r="AT128" i="13"/>
  <c r="AK128" i="13"/>
  <c r="AI128" i="13"/>
  <c r="AV124" i="13"/>
  <c r="W128" i="13"/>
  <c r="X128" i="13" s="1"/>
  <c r="F127" i="13"/>
  <c r="B222" i="11" s="1"/>
  <c r="AR124" i="13"/>
  <c r="AZ128" i="13"/>
  <c r="AQ124" i="13"/>
  <c r="W124" i="13"/>
  <c r="X124" i="13" s="1"/>
  <c r="AK120" i="13"/>
  <c r="AI120" i="13"/>
  <c r="AK104" i="13"/>
  <c r="AI104" i="13"/>
  <c r="U120" i="13"/>
  <c r="V120" i="13" s="1"/>
  <c r="D220" i="11" s="1"/>
  <c r="AT120" i="13"/>
  <c r="AT92" i="13"/>
  <c r="U92" i="13"/>
  <c r="V92" i="13" s="1"/>
  <c r="D213" i="11" s="1"/>
  <c r="AI116" i="13"/>
  <c r="AK116" i="13"/>
  <c r="AI112" i="13"/>
  <c r="AK112" i="13"/>
  <c r="U104" i="13"/>
  <c r="V104" i="13" s="1"/>
  <c r="D216" i="11" s="1"/>
  <c r="AT104" i="13"/>
  <c r="AT112" i="13"/>
  <c r="U112" i="13"/>
  <c r="V112" i="13" s="1"/>
  <c r="D218" i="11" s="1"/>
  <c r="F111" i="13"/>
  <c r="B218" i="11" s="1"/>
  <c r="W112" i="13"/>
  <c r="X112" i="13" s="1"/>
  <c r="AI96" i="13"/>
  <c r="AK96" i="13"/>
  <c r="AK88" i="13"/>
  <c r="AI88" i="13"/>
  <c r="AI100" i="13"/>
  <c r="AK100" i="13"/>
  <c r="AT96" i="13"/>
  <c r="U96" i="13"/>
  <c r="V96" i="13" s="1"/>
  <c r="D214" i="11" s="1"/>
  <c r="F95" i="13"/>
  <c r="B214" i="11" s="1"/>
  <c r="W96" i="13"/>
  <c r="X96" i="13" s="1"/>
  <c r="U88" i="13"/>
  <c r="V88" i="13" s="1"/>
  <c r="D212" i="11" s="1"/>
  <c r="F87" i="13"/>
  <c r="B212" i="11" s="1"/>
  <c r="W88" i="13"/>
  <c r="X88" i="13" s="1"/>
  <c r="AT88" i="13"/>
  <c r="U116" i="13"/>
  <c r="V116" i="13" s="1"/>
  <c r="D219" i="11" s="1"/>
  <c r="U100" i="13"/>
  <c r="V100" i="13" s="1"/>
  <c r="D215" i="11" s="1"/>
  <c r="AV88" i="13"/>
  <c r="AO116" i="13"/>
  <c r="AX116" i="13"/>
  <c r="AZ112" i="13"/>
  <c r="AQ108" i="13"/>
  <c r="AX100" i="13"/>
  <c r="AQ92" i="13"/>
  <c r="AR120" i="13"/>
  <c r="AV116" i="13"/>
  <c r="AR104" i="13"/>
  <c r="AV100" i="13"/>
  <c r="W92" i="13"/>
  <c r="F91" i="13"/>
  <c r="B213" i="11" s="1"/>
  <c r="AT100" i="13"/>
  <c r="W120" i="13"/>
  <c r="X120" i="13" s="1"/>
  <c r="F119" i="13"/>
  <c r="B220" i="11" s="1"/>
  <c r="AR116" i="13"/>
  <c r="AV112" i="13"/>
  <c r="W104" i="13"/>
  <c r="X104" i="13" s="1"/>
  <c r="F103" i="13"/>
  <c r="B216" i="11" s="1"/>
  <c r="AR100" i="13"/>
  <c r="AV96" i="13"/>
  <c r="AQ116" i="13"/>
  <c r="AK108" i="13"/>
  <c r="AZ104" i="13"/>
  <c r="AQ100" i="13"/>
  <c r="W116" i="13"/>
  <c r="X116" i="13" s="1"/>
  <c r="W100" i="13"/>
  <c r="X100" i="13" s="1"/>
  <c r="AE80" i="13"/>
  <c r="E78" i="13" s="1"/>
  <c r="AE72" i="13"/>
  <c r="AE64" i="13"/>
  <c r="E62" i="13" s="1"/>
  <c r="AR60" i="13"/>
  <c r="AQ56" i="13"/>
  <c r="AY76" i="13"/>
  <c r="AV60" i="13"/>
  <c r="AP56" i="13"/>
  <c r="AO60" i="13"/>
  <c r="AO76" i="13"/>
  <c r="E82" i="13"/>
  <c r="F83" i="13" s="1"/>
  <c r="B211" i="11" s="1"/>
  <c r="AP72" i="13"/>
  <c r="AP64" i="13"/>
  <c r="E58" i="13"/>
  <c r="AT60" i="13" s="1"/>
  <c r="AK60" i="13"/>
  <c r="AI60" i="13"/>
  <c r="AO64" i="13"/>
  <c r="AR72" i="13"/>
  <c r="E70" i="13"/>
  <c r="AT72" i="13" s="1"/>
  <c r="AR56" i="13"/>
  <c r="AP84" i="13"/>
  <c r="E74" i="13"/>
  <c r="AT76" i="13" s="1"/>
  <c r="AX60" i="13"/>
  <c r="AY60" i="13" s="1"/>
  <c r="AV72" i="13"/>
  <c r="AR76" i="13"/>
  <c r="AV84" i="13"/>
  <c r="AP80" i="13"/>
  <c r="AI76" i="13"/>
  <c r="AQ76" i="13"/>
  <c r="E54" i="13"/>
  <c r="U56" i="13" s="1"/>
  <c r="V56" i="13" s="1"/>
  <c r="D204" i="11" s="1"/>
  <c r="AI84" i="13"/>
  <c r="AK84" i="13"/>
  <c r="AK72" i="13"/>
  <c r="AI72" i="13"/>
  <c r="AI64" i="13"/>
  <c r="AK64" i="13"/>
  <c r="AI80" i="13"/>
  <c r="AK80" i="13"/>
  <c r="U76" i="13"/>
  <c r="V76" i="13" s="1"/>
  <c r="D209" i="11" s="1"/>
  <c r="AI68" i="13"/>
  <c r="AK68" i="13"/>
  <c r="AT64" i="13"/>
  <c r="U64" i="13"/>
  <c r="V64" i="13" s="1"/>
  <c r="D206" i="11" s="1"/>
  <c r="F63" i="13"/>
  <c r="B206" i="11" s="1"/>
  <c r="W64" i="13"/>
  <c r="X64" i="13" s="1"/>
  <c r="AK56" i="13"/>
  <c r="AI56" i="13"/>
  <c r="W56" i="13"/>
  <c r="X56" i="13" s="1"/>
  <c r="AO68" i="13"/>
  <c r="U84" i="13"/>
  <c r="V84" i="13" s="1"/>
  <c r="D211" i="11" s="1"/>
  <c r="U68" i="13"/>
  <c r="V68" i="13" s="1"/>
  <c r="D207" i="11" s="1"/>
  <c r="AX84" i="13"/>
  <c r="AZ80" i="13"/>
  <c r="AX68" i="13"/>
  <c r="AZ64" i="13"/>
  <c r="AQ60" i="13"/>
  <c r="W76" i="13"/>
  <c r="X76" i="13" s="1"/>
  <c r="F75" i="13"/>
  <c r="B209" i="11" s="1"/>
  <c r="AV68" i="13"/>
  <c r="AT84" i="13"/>
  <c r="AZ76" i="13"/>
  <c r="AT68" i="13"/>
  <c r="AR84" i="13"/>
  <c r="AV80" i="13"/>
  <c r="AR68" i="13"/>
  <c r="AV64" i="13"/>
  <c r="AQ84" i="13"/>
  <c r="AZ72" i="13"/>
  <c r="AQ68" i="13"/>
  <c r="W84" i="13"/>
  <c r="X84" i="13" s="1"/>
  <c r="W68" i="13"/>
  <c r="X68" i="13" s="1"/>
  <c r="F71" i="5"/>
  <c r="B177" i="11" s="1"/>
  <c r="AO92" i="5"/>
  <c r="AV128" i="5"/>
  <c r="AT72" i="5"/>
  <c r="AO116" i="5"/>
  <c r="AQ112" i="5"/>
  <c r="U100" i="5"/>
  <c r="V100" i="5" s="1"/>
  <c r="D184" i="11" s="1"/>
  <c r="AH112" i="5"/>
  <c r="AI112" i="5" s="1"/>
  <c r="Y112" i="5" s="1"/>
  <c r="AV84" i="5"/>
  <c r="AX92" i="5"/>
  <c r="AY92" i="5" s="1"/>
  <c r="AO60" i="5"/>
  <c r="F131" i="5"/>
  <c r="B192" i="11" s="1"/>
  <c r="F119" i="5"/>
  <c r="B189" i="11" s="1"/>
  <c r="AT132" i="5"/>
  <c r="AT128" i="5"/>
  <c r="AT60" i="5"/>
  <c r="F99" i="5"/>
  <c r="B184" i="11" s="1"/>
  <c r="AV96" i="5"/>
  <c r="AO84" i="5"/>
  <c r="AI124" i="5"/>
  <c r="Y124" i="5" s="1"/>
  <c r="AK124" i="5"/>
  <c r="AL124" i="5" s="1"/>
  <c r="AK96" i="5"/>
  <c r="AL96" i="5" s="1"/>
  <c r="AQ72" i="5"/>
  <c r="F103" i="5"/>
  <c r="B185" i="11" s="1"/>
  <c r="AX100" i="5"/>
  <c r="AZ100" i="5" s="1"/>
  <c r="AH92" i="5"/>
  <c r="AK92" i="5" s="1"/>
  <c r="AL92" i="5" s="1"/>
  <c r="AR96" i="5"/>
  <c r="AP84" i="5"/>
  <c r="AP72" i="5"/>
  <c r="AX64" i="5"/>
  <c r="AY64" i="5" s="1"/>
  <c r="AO140" i="5"/>
  <c r="AR100" i="5"/>
  <c r="U92" i="5"/>
  <c r="V92" i="5" s="1"/>
  <c r="D182" i="11" s="1"/>
  <c r="AT56" i="5"/>
  <c r="AV124" i="5"/>
  <c r="AR92" i="5"/>
  <c r="AP80" i="5"/>
  <c r="AR76" i="5"/>
  <c r="AX72" i="5"/>
  <c r="AZ72" i="5" s="1"/>
  <c r="F135" i="5"/>
  <c r="B193" i="11" s="1"/>
  <c r="AP124" i="5"/>
  <c r="AV120" i="5"/>
  <c r="AP112" i="5"/>
  <c r="AR108" i="5"/>
  <c r="AT104" i="5"/>
  <c r="AR104" i="5"/>
  <c r="AR136" i="5"/>
  <c r="AR128" i="5"/>
  <c r="AT120" i="5"/>
  <c r="AO80" i="5"/>
  <c r="AH72" i="5"/>
  <c r="AI72" i="5" s="1"/>
  <c r="Y72" i="5" s="1"/>
  <c r="AR64" i="5"/>
  <c r="AR60" i="5"/>
  <c r="AH136" i="5"/>
  <c r="AI136" i="5" s="1"/>
  <c r="Y136" i="5" s="1"/>
  <c r="F115" i="5"/>
  <c r="B188" i="11" s="1"/>
  <c r="AK128" i="5"/>
  <c r="AL128" i="5" s="1"/>
  <c r="F67" i="5"/>
  <c r="B176" i="11" s="1"/>
  <c r="AO76" i="5"/>
  <c r="AH68" i="5"/>
  <c r="AK68" i="5" s="1"/>
  <c r="AL68" i="5" s="1"/>
  <c r="AQ64" i="5"/>
  <c r="AR116" i="5"/>
  <c r="AP104" i="5"/>
  <c r="AQ104" i="5"/>
  <c r="AQ100" i="5"/>
  <c r="AX116" i="5"/>
  <c r="F75" i="5"/>
  <c r="B178" i="11" s="1"/>
  <c r="F59" i="5"/>
  <c r="B174" i="11" s="1"/>
  <c r="AV56" i="5"/>
  <c r="F55" i="5"/>
  <c r="B173" i="11" s="1"/>
  <c r="AR132" i="5"/>
  <c r="U124" i="5"/>
  <c r="V124" i="5" s="1"/>
  <c r="AQ116" i="5"/>
  <c r="AT108" i="5"/>
  <c r="AX104" i="5"/>
  <c r="AP100" i="5"/>
  <c r="AP76" i="5"/>
  <c r="AR68" i="5"/>
  <c r="AP136" i="5"/>
  <c r="AQ136" i="5"/>
  <c r="AQ132" i="5"/>
  <c r="AX124" i="5"/>
  <c r="AY124" i="5" s="1"/>
  <c r="AR124" i="5"/>
  <c r="AQ108" i="5"/>
  <c r="AV104" i="5"/>
  <c r="AO104" i="5"/>
  <c r="U96" i="5"/>
  <c r="V96" i="5" s="1"/>
  <c r="D183" i="11" s="1"/>
  <c r="AQ80" i="5"/>
  <c r="AQ76" i="5"/>
  <c r="AO72" i="5"/>
  <c r="AQ68" i="5"/>
  <c r="AI64" i="5"/>
  <c r="Y64" i="5" s="1"/>
  <c r="AH60" i="5"/>
  <c r="AR140" i="5"/>
  <c r="AP132" i="5"/>
  <c r="AX132" i="5"/>
  <c r="AY132" i="5" s="1"/>
  <c r="AP68" i="5"/>
  <c r="AX136" i="5"/>
  <c r="AO136" i="5"/>
  <c r="AO132" i="5"/>
  <c r="AP116" i="5"/>
  <c r="AX68" i="5"/>
  <c r="AY68" i="5" s="1"/>
  <c r="AQ140" i="5"/>
  <c r="AO124" i="5"/>
  <c r="AO108" i="5"/>
  <c r="AP92" i="5"/>
  <c r="AV88" i="5"/>
  <c r="D120" i="5"/>
  <c r="Y104" i="5"/>
  <c r="AI140" i="5"/>
  <c r="Y140" i="5" s="1"/>
  <c r="AK140" i="5"/>
  <c r="AL140" i="5" s="1"/>
  <c r="D108" i="5"/>
  <c r="AI88" i="5"/>
  <c r="Y88" i="5" s="1"/>
  <c r="AK88" i="5"/>
  <c r="AL88" i="5" s="1"/>
  <c r="AY96" i="5"/>
  <c r="AZ96" i="5"/>
  <c r="D132" i="5"/>
  <c r="AI120" i="5"/>
  <c r="Y120" i="5" s="1"/>
  <c r="AK120" i="5"/>
  <c r="AL120" i="5" s="1"/>
  <c r="D140" i="5"/>
  <c r="AY128" i="5"/>
  <c r="AZ128" i="5"/>
  <c r="AI116" i="5"/>
  <c r="Y116" i="5" s="1"/>
  <c r="AK116" i="5"/>
  <c r="AL116" i="5" s="1"/>
  <c r="AI108" i="5"/>
  <c r="Y108" i="5" s="1"/>
  <c r="AK108" i="5"/>
  <c r="AL108" i="5" s="1"/>
  <c r="D104" i="5"/>
  <c r="D88" i="5"/>
  <c r="AP140" i="5"/>
  <c r="AH132" i="5"/>
  <c r="AI128" i="5"/>
  <c r="Y128" i="5" s="1"/>
  <c r="AX120" i="5"/>
  <c r="AO112" i="5"/>
  <c r="F111" i="5"/>
  <c r="B187" i="11" s="1"/>
  <c r="AP108" i="5"/>
  <c r="AH100" i="5"/>
  <c r="AI96" i="5"/>
  <c r="Y96" i="5" s="1"/>
  <c r="AX88" i="5"/>
  <c r="U116" i="5"/>
  <c r="V116" i="5" s="1"/>
  <c r="D188" i="11" s="1"/>
  <c r="AQ128" i="5"/>
  <c r="AV116" i="5"/>
  <c r="AX112" i="5"/>
  <c r="AQ96" i="5"/>
  <c r="AX140" i="5"/>
  <c r="AP128" i="5"/>
  <c r="AQ124" i="5"/>
  <c r="AR120" i="5"/>
  <c r="AT116" i="5"/>
  <c r="D112" i="5"/>
  <c r="AX108" i="5"/>
  <c r="AO100" i="5"/>
  <c r="AP96" i="5"/>
  <c r="AQ92" i="5"/>
  <c r="AR88" i="5"/>
  <c r="AV140" i="5"/>
  <c r="U136" i="5"/>
  <c r="V136" i="5" s="1"/>
  <c r="D193" i="11" s="1"/>
  <c r="AO128" i="5"/>
  <c r="F127" i="5"/>
  <c r="B191" i="11" s="1"/>
  <c r="AQ120" i="5"/>
  <c r="AV108" i="5"/>
  <c r="AK104" i="5"/>
  <c r="AL104" i="5" s="1"/>
  <c r="AO96" i="5"/>
  <c r="F95" i="5"/>
  <c r="B183" i="11" s="1"/>
  <c r="AQ88" i="5"/>
  <c r="AP120" i="5"/>
  <c r="AR112" i="5"/>
  <c r="AP88" i="5"/>
  <c r="AO120" i="5"/>
  <c r="AO88" i="5"/>
  <c r="D68" i="5"/>
  <c r="AI76" i="5"/>
  <c r="Y76" i="5" s="1"/>
  <c r="AK76" i="5"/>
  <c r="AL76" i="5" s="1"/>
  <c r="D72" i="5"/>
  <c r="D60" i="5"/>
  <c r="AI80" i="5"/>
  <c r="Y80" i="5" s="1"/>
  <c r="AK80" i="5"/>
  <c r="AL80" i="5" s="1"/>
  <c r="AI56" i="5"/>
  <c r="Y56" i="5" s="1"/>
  <c r="AK56" i="5"/>
  <c r="AL56" i="5" s="1"/>
  <c r="AI84" i="5"/>
  <c r="Y84" i="5" s="1"/>
  <c r="AK84" i="5"/>
  <c r="AL84" i="5" s="1"/>
  <c r="AX56" i="5"/>
  <c r="F83" i="5"/>
  <c r="B180" i="11" s="1"/>
  <c r="AX84" i="5"/>
  <c r="U84" i="5"/>
  <c r="V84" i="5" s="1"/>
  <c r="D180" i="11" s="1"/>
  <c r="D56" i="5"/>
  <c r="AX80" i="5"/>
  <c r="U80" i="5"/>
  <c r="V80" i="5" s="1"/>
  <c r="D179" i="11" s="1"/>
  <c r="AV80" i="5"/>
  <c r="AX76" i="5"/>
  <c r="U76" i="5"/>
  <c r="V76" i="5" s="1"/>
  <c r="D178" i="11" s="1"/>
  <c r="AO68" i="5"/>
  <c r="AP64" i="5"/>
  <c r="AQ60" i="5"/>
  <c r="AR56" i="5"/>
  <c r="AR84" i="5"/>
  <c r="AV76" i="5"/>
  <c r="AO64" i="5"/>
  <c r="AP60" i="5"/>
  <c r="AQ56" i="5"/>
  <c r="AQ84" i="5"/>
  <c r="AR80" i="5"/>
  <c r="AZ60" i="5"/>
  <c r="AP56" i="5"/>
  <c r="AO56" i="5"/>
  <c r="BG107" i="4"/>
  <c r="BJ107" i="4"/>
  <c r="AF63" i="4"/>
  <c r="AG63" i="4" s="1"/>
  <c r="AJ63" i="4" s="1"/>
  <c r="AW63" i="4"/>
  <c r="BF59" i="4"/>
  <c r="BI59" i="4" s="1"/>
  <c r="AW59" i="4"/>
  <c r="AN139" i="4"/>
  <c r="AF127" i="4"/>
  <c r="AG127" i="4" s="1"/>
  <c r="AH127" i="4" s="1"/>
  <c r="E122" i="4"/>
  <c r="B159" i="11" s="1"/>
  <c r="AF115" i="4"/>
  <c r="AG115" i="4" s="1"/>
  <c r="AH115" i="4" s="1"/>
  <c r="AV115" i="4"/>
  <c r="AP111" i="4"/>
  <c r="AS107" i="4"/>
  <c r="T107" i="4"/>
  <c r="U107" i="4" s="1"/>
  <c r="D155" i="11" s="1"/>
  <c r="AF103" i="4"/>
  <c r="AG103" i="4" s="1"/>
  <c r="AH103" i="4" s="1"/>
  <c r="AV103" i="4"/>
  <c r="T135" i="4"/>
  <c r="U135" i="4" s="1"/>
  <c r="D162" i="11" s="1"/>
  <c r="AX91" i="4"/>
  <c r="AN91" i="4"/>
  <c r="BD83" i="4"/>
  <c r="BJ83" i="4" s="1"/>
  <c r="AS83" i="4"/>
  <c r="AU79" i="4"/>
  <c r="AV59" i="4"/>
  <c r="AP95" i="4"/>
  <c r="AS119" i="4"/>
  <c r="AQ111" i="4"/>
  <c r="AX79" i="4"/>
  <c r="AW75" i="4"/>
  <c r="AV67" i="4"/>
  <c r="AQ63" i="4"/>
  <c r="AZ111" i="4"/>
  <c r="AM95" i="4"/>
  <c r="AS135" i="4"/>
  <c r="AP115" i="4"/>
  <c r="AP91" i="4"/>
  <c r="AS71" i="4"/>
  <c r="AN59" i="4"/>
  <c r="BH95" i="4"/>
  <c r="AQ139" i="4"/>
  <c r="AU127" i="4"/>
  <c r="AN127" i="4"/>
  <c r="AM123" i="4"/>
  <c r="BK127" i="4"/>
  <c r="BJ115" i="4"/>
  <c r="AT111" i="4"/>
  <c r="AM107" i="4"/>
  <c r="BJ103" i="4"/>
  <c r="AF67" i="4"/>
  <c r="AG67" i="4" s="1"/>
  <c r="AH67" i="4" s="1"/>
  <c r="X67" i="4" s="1"/>
  <c r="AO59" i="4"/>
  <c r="AF99" i="4"/>
  <c r="AG99" i="4" s="1"/>
  <c r="AH99" i="4" s="1"/>
  <c r="BJ95" i="4"/>
  <c r="AM139" i="4"/>
  <c r="AT127" i="4"/>
  <c r="AT115" i="4"/>
  <c r="E126" i="4"/>
  <c r="B160" i="11" s="1"/>
  <c r="BH119" i="4"/>
  <c r="BK119" i="4"/>
  <c r="AZ107" i="4"/>
  <c r="AH135" i="4"/>
  <c r="X135" i="4" s="1"/>
  <c r="AJ135" i="4"/>
  <c r="AK135" i="4" s="1"/>
  <c r="T123" i="4"/>
  <c r="U123" i="4" s="1"/>
  <c r="D159" i="11" s="1"/>
  <c r="AZ123" i="4"/>
  <c r="V123" i="4"/>
  <c r="W123" i="4" s="1"/>
  <c r="T139" i="4"/>
  <c r="U139" i="4" s="1"/>
  <c r="D163" i="11" s="1"/>
  <c r="AZ139" i="4"/>
  <c r="AM87" i="4"/>
  <c r="AZ99" i="4"/>
  <c r="AF83" i="4"/>
  <c r="AG83" i="4" s="1"/>
  <c r="AH83" i="4" s="1"/>
  <c r="AP83" i="4"/>
  <c r="AV83" i="4"/>
  <c r="AF71" i="4"/>
  <c r="AG71" i="4" s="1"/>
  <c r="AH71" i="4" s="1"/>
  <c r="AV71" i="4"/>
  <c r="AO63" i="4"/>
  <c r="BE59" i="4"/>
  <c r="AM59" i="4"/>
  <c r="BJ139" i="4"/>
  <c r="AW139" i="4"/>
  <c r="AR139" i="4"/>
  <c r="BJ135" i="4"/>
  <c r="E134" i="4"/>
  <c r="B162" i="11" s="1"/>
  <c r="AP131" i="4"/>
  <c r="AW127" i="4"/>
  <c r="AV123" i="4"/>
  <c r="AW119" i="4"/>
  <c r="AU119" i="4"/>
  <c r="AX115" i="4"/>
  <c r="AM115" i="4"/>
  <c r="BF107" i="4"/>
  <c r="BL107" i="4" s="1"/>
  <c r="AT107" i="4"/>
  <c r="AP103" i="4"/>
  <c r="AS103" i="4"/>
  <c r="BE79" i="4"/>
  <c r="BH79" i="4" s="1"/>
  <c r="AO71" i="4"/>
  <c r="BD67" i="4"/>
  <c r="AW67" i="4"/>
  <c r="BD59" i="4"/>
  <c r="BJ59" i="4" s="1"/>
  <c r="AQ95" i="4"/>
  <c r="AO131" i="4"/>
  <c r="AQ127" i="4"/>
  <c r="AT123" i="4"/>
  <c r="AR119" i="4"/>
  <c r="AQ115" i="4"/>
  <c r="AV111" i="4"/>
  <c r="AU111" i="4"/>
  <c r="AM111" i="4"/>
  <c r="AJ107" i="4"/>
  <c r="AR91" i="4"/>
  <c r="T99" i="4"/>
  <c r="U99" i="4" s="1"/>
  <c r="D153" i="11" s="1"/>
  <c r="T95" i="4"/>
  <c r="U95" i="4" s="1"/>
  <c r="AR131" i="4"/>
  <c r="AV131" i="4"/>
  <c r="AR127" i="4"/>
  <c r="BE123" i="4"/>
  <c r="AH107" i="4"/>
  <c r="AQ103" i="4"/>
  <c r="BI83" i="4"/>
  <c r="AQ59" i="4"/>
  <c r="AO139" i="4"/>
  <c r="AM131" i="4"/>
  <c r="AU131" i="4"/>
  <c r="BF127" i="4"/>
  <c r="AX107" i="4"/>
  <c r="AX103" i="4"/>
  <c r="AW95" i="4"/>
  <c r="AS131" i="4"/>
  <c r="BK83" i="4"/>
  <c r="AT83" i="4"/>
  <c r="AM79" i="4"/>
  <c r="AP67" i="4"/>
  <c r="AU63" i="4"/>
  <c r="AR59" i="4"/>
  <c r="BE139" i="4"/>
  <c r="AN135" i="4"/>
  <c r="AO135" i="4"/>
  <c r="BF131" i="4"/>
  <c r="AP127" i="4"/>
  <c r="AV127" i="4"/>
  <c r="AN119" i="4"/>
  <c r="V111" i="4"/>
  <c r="W111" i="4" s="1"/>
  <c r="AW103" i="4"/>
  <c r="AZ95" i="4"/>
  <c r="AQ79" i="4"/>
  <c r="BH71" i="4"/>
  <c r="AQ99" i="4"/>
  <c r="AZ135" i="4"/>
  <c r="AQ123" i="4"/>
  <c r="BJ111" i="4"/>
  <c r="AS111" i="4"/>
  <c r="E110" i="4"/>
  <c r="B156" i="11" s="1"/>
  <c r="AQ107" i="4"/>
  <c r="AW91" i="4"/>
  <c r="AU87" i="4"/>
  <c r="AU83" i="4"/>
  <c r="AR99" i="4"/>
  <c r="AU95" i="4"/>
  <c r="AP135" i="4"/>
  <c r="AT131" i="4"/>
  <c r="AU123" i="4"/>
  <c r="AX123" i="4"/>
  <c r="AN123" i="4"/>
  <c r="AT119" i="4"/>
  <c r="BE115" i="4"/>
  <c r="BE111" i="4"/>
  <c r="BH111" i="4" s="1"/>
  <c r="AR107" i="4"/>
  <c r="BK103" i="4"/>
  <c r="AH123" i="4"/>
  <c r="AJ123" i="4"/>
  <c r="AH131" i="4"/>
  <c r="AJ131" i="4"/>
  <c r="AZ115" i="4"/>
  <c r="T115" i="4"/>
  <c r="U115" i="4" s="1"/>
  <c r="D157" i="11" s="1"/>
  <c r="V115" i="4"/>
  <c r="W115" i="4" s="1"/>
  <c r="AJ119" i="4"/>
  <c r="AH119" i="4"/>
  <c r="E102" i="4"/>
  <c r="B154" i="11" s="1"/>
  <c r="AJ139" i="4"/>
  <c r="AH139" i="4"/>
  <c r="AZ127" i="4"/>
  <c r="T127" i="4"/>
  <c r="U127" i="4" s="1"/>
  <c r="D160" i="11" s="1"/>
  <c r="V127" i="4"/>
  <c r="W127" i="4" s="1"/>
  <c r="AZ103" i="4"/>
  <c r="T103" i="4"/>
  <c r="U103" i="4" s="1"/>
  <c r="D154" i="11" s="1"/>
  <c r="V103" i="4"/>
  <c r="W103" i="4" s="1"/>
  <c r="BI139" i="4"/>
  <c r="AP139" i="4"/>
  <c r="BF135" i="4"/>
  <c r="AU135" i="4"/>
  <c r="AM135" i="4"/>
  <c r="BH127" i="4"/>
  <c r="AO127" i="4"/>
  <c r="G117" i="4"/>
  <c r="BG115" i="4"/>
  <c r="AN115" i="4"/>
  <c r="AJ111" i="4"/>
  <c r="T111" i="4"/>
  <c r="U111" i="4" s="1"/>
  <c r="D156" i="11" s="1"/>
  <c r="AP107" i="4"/>
  <c r="AU103" i="4"/>
  <c r="BE135" i="4"/>
  <c r="AT135" i="4"/>
  <c r="BJ131" i="4"/>
  <c r="AQ131" i="4"/>
  <c r="G129" i="4"/>
  <c r="AZ131" i="4" s="1"/>
  <c r="BG127" i="4"/>
  <c r="BD123" i="4"/>
  <c r="AS123" i="4"/>
  <c r="AX119" i="4"/>
  <c r="AP119" i="4"/>
  <c r="BF115" i="4"/>
  <c r="AU115" i="4"/>
  <c r="E114" i="4"/>
  <c r="B157" i="11" s="1"/>
  <c r="AR111" i="4"/>
  <c r="AW107" i="4"/>
  <c r="AT103" i="4"/>
  <c r="AR123" i="4"/>
  <c r="AU139" i="4"/>
  <c r="V139" i="4"/>
  <c r="W139" i="4" s="1"/>
  <c r="E138" i="4"/>
  <c r="B163" i="11" s="1"/>
  <c r="AW131" i="4"/>
  <c r="AV119" i="4"/>
  <c r="AX111" i="4"/>
  <c r="AU107" i="4"/>
  <c r="V107" i="4"/>
  <c r="W107" i="4" s="1"/>
  <c r="E106" i="4"/>
  <c r="B155" i="11" s="1"/>
  <c r="AT139" i="4"/>
  <c r="AQ135" i="4"/>
  <c r="AN131" i="4"/>
  <c r="AP123" i="4"/>
  <c r="BF119" i="4"/>
  <c r="AM119" i="4"/>
  <c r="AR115" i="4"/>
  <c r="AO111" i="4"/>
  <c r="BE107" i="4"/>
  <c r="AN111" i="4"/>
  <c r="BE131" i="4"/>
  <c r="BD119" i="4"/>
  <c r="BF111" i="4"/>
  <c r="T83" i="4"/>
  <c r="U83" i="4" s="1"/>
  <c r="D149" i="11" s="1"/>
  <c r="AZ83" i="4"/>
  <c r="BI75" i="4"/>
  <c r="BL75" i="4"/>
  <c r="AH87" i="4"/>
  <c r="AJ87" i="4"/>
  <c r="BD91" i="4"/>
  <c r="AS87" i="4"/>
  <c r="AF79" i="4"/>
  <c r="AG79" i="4" s="1"/>
  <c r="G77" i="4"/>
  <c r="E78" i="4" s="1"/>
  <c r="B148" i="11" s="1"/>
  <c r="AS75" i="4"/>
  <c r="AS63" i="4"/>
  <c r="AS99" i="4"/>
  <c r="AS95" i="4"/>
  <c r="AV91" i="4"/>
  <c r="AP87" i="4"/>
  <c r="AT87" i="4"/>
  <c r="E82" i="4"/>
  <c r="B149" i="11" s="1"/>
  <c r="AO75" i="4"/>
  <c r="AQ67" i="4"/>
  <c r="BK63" i="4"/>
  <c r="T63" i="4"/>
  <c r="U63" i="4" s="1"/>
  <c r="D144" i="11" s="1"/>
  <c r="AO91" i="4"/>
  <c r="AX83" i="4"/>
  <c r="AT79" i="4"/>
  <c r="AX75" i="4"/>
  <c r="BE67" i="4"/>
  <c r="BH67" i="4" s="1"/>
  <c r="AS67" i="4"/>
  <c r="E66" i="4"/>
  <c r="B145" i="11" s="1"/>
  <c r="AR63" i="4"/>
  <c r="AW83" i="4"/>
  <c r="AQ83" i="4"/>
  <c r="AU75" i="4"/>
  <c r="BK71" i="4"/>
  <c r="AT63" i="4"/>
  <c r="BL59" i="4"/>
  <c r="AM99" i="4"/>
  <c r="AO95" i="4"/>
  <c r="AF91" i="4"/>
  <c r="AG91" i="4" s="1"/>
  <c r="AH91" i="4" s="1"/>
  <c r="BD87" i="4"/>
  <c r="BG87" i="4" s="1"/>
  <c r="AV87" i="4"/>
  <c r="AR83" i="4"/>
  <c r="AN83" i="4"/>
  <c r="AO79" i="4"/>
  <c r="BJ71" i="4"/>
  <c r="AX71" i="4"/>
  <c r="AM71" i="4"/>
  <c r="BF63" i="4"/>
  <c r="BL63" i="4" s="1"/>
  <c r="AS59" i="4"/>
  <c r="AN99" i="4"/>
  <c r="AN95" i="4"/>
  <c r="BK95" i="4"/>
  <c r="AS91" i="4"/>
  <c r="AW79" i="4"/>
  <c r="AW71" i="4"/>
  <c r="AQ71" i="4"/>
  <c r="BH63" i="4"/>
  <c r="AP99" i="4"/>
  <c r="BF91" i="4"/>
  <c r="AX87" i="4"/>
  <c r="BL83" i="4"/>
  <c r="AV79" i="4"/>
  <c r="AT75" i="4"/>
  <c r="AT71" i="4"/>
  <c r="AU67" i="4"/>
  <c r="AM67" i="4"/>
  <c r="AM63" i="4"/>
  <c r="BJ99" i="4"/>
  <c r="AX95" i="4"/>
  <c r="AR95" i="4"/>
  <c r="E94" i="4"/>
  <c r="B152" i="11" s="1"/>
  <c r="AX99" i="4"/>
  <c r="BF95" i="4"/>
  <c r="V95" i="4"/>
  <c r="W95" i="4" s="1"/>
  <c r="BH99" i="4"/>
  <c r="AW99" i="4"/>
  <c r="AO99" i="4"/>
  <c r="AT95" i="4"/>
  <c r="AJ95" i="4"/>
  <c r="BF99" i="4"/>
  <c r="AU99" i="4"/>
  <c r="V99" i="4"/>
  <c r="W99" i="4" s="1"/>
  <c r="E98" i="4"/>
  <c r="B153" i="11" s="1"/>
  <c r="AT99" i="4"/>
  <c r="AZ91" i="4"/>
  <c r="T91" i="4"/>
  <c r="U91" i="4" s="1"/>
  <c r="D151" i="11" s="1"/>
  <c r="V91" i="4"/>
  <c r="W91" i="4" s="1"/>
  <c r="AH59" i="4"/>
  <c r="AJ59" i="4"/>
  <c r="AZ71" i="4"/>
  <c r="T71" i="4"/>
  <c r="U71" i="4" s="1"/>
  <c r="D146" i="11" s="1"/>
  <c r="V71" i="4"/>
  <c r="W71" i="4" s="1"/>
  <c r="AJ75" i="4"/>
  <c r="AH75" i="4"/>
  <c r="T59" i="4"/>
  <c r="U59" i="4" s="1"/>
  <c r="D143" i="11" s="1"/>
  <c r="E58" i="4"/>
  <c r="B143" i="11" s="1"/>
  <c r="V59" i="4"/>
  <c r="W59" i="4" s="1"/>
  <c r="AU91" i="4"/>
  <c r="AM91" i="4"/>
  <c r="E90" i="4"/>
  <c r="B151" i="11" s="1"/>
  <c r="AR87" i="4"/>
  <c r="BH83" i="4"/>
  <c r="AO83" i="4"/>
  <c r="AQ75" i="4"/>
  <c r="G73" i="4"/>
  <c r="E74" i="4" s="1"/>
  <c r="B147" i="11" s="1"/>
  <c r="BG71" i="4"/>
  <c r="AN71" i="4"/>
  <c r="T67" i="4"/>
  <c r="U67" i="4" s="1"/>
  <c r="D145" i="11" s="1"/>
  <c r="AP63" i="4"/>
  <c r="AU59" i="4"/>
  <c r="BE91" i="4"/>
  <c r="AT91" i="4"/>
  <c r="AQ87" i="4"/>
  <c r="G85" i="4"/>
  <c r="BL79" i="4"/>
  <c r="BD79" i="4"/>
  <c r="AS79" i="4"/>
  <c r="AP75" i="4"/>
  <c r="BF71" i="4"/>
  <c r="AU71" i="4"/>
  <c r="E70" i="4"/>
  <c r="B146" i="11" s="1"/>
  <c r="AR67" i="4"/>
  <c r="AT59" i="4"/>
  <c r="V83" i="4"/>
  <c r="W83" i="4" s="1"/>
  <c r="AR79" i="4"/>
  <c r="AW87" i="4"/>
  <c r="AV75" i="4"/>
  <c r="AX67" i="4"/>
  <c r="V63" i="4"/>
  <c r="W63" i="4" s="1"/>
  <c r="E62" i="4"/>
  <c r="B144" i="11" s="1"/>
  <c r="AQ91" i="4"/>
  <c r="AN87" i="4"/>
  <c r="AP79" i="4"/>
  <c r="AM75" i="4"/>
  <c r="AR71" i="4"/>
  <c r="AO67" i="4"/>
  <c r="BF87" i="4"/>
  <c r="BE75" i="4"/>
  <c r="AN67" i="4"/>
  <c r="BD63" i="4"/>
  <c r="BE87" i="4"/>
  <c r="BD75" i="4"/>
  <c r="BF67" i="4"/>
  <c r="D130" i="2"/>
  <c r="B129" i="11" s="1"/>
  <c r="AG131" i="2"/>
  <c r="AF131" i="2" s="1"/>
  <c r="AZ119" i="2"/>
  <c r="BA119" i="2"/>
  <c r="AF115" i="2"/>
  <c r="AP139" i="2"/>
  <c r="AY135" i="2"/>
  <c r="AI111" i="2"/>
  <c r="AJ111" i="2" s="1"/>
  <c r="AZ107" i="2"/>
  <c r="BA103" i="2"/>
  <c r="AP91" i="2"/>
  <c r="AO131" i="2"/>
  <c r="AR127" i="2"/>
  <c r="AQ119" i="2"/>
  <c r="AF135" i="2"/>
  <c r="AQ131" i="2"/>
  <c r="D126" i="2"/>
  <c r="B128" i="11" s="1"/>
  <c r="AR123" i="2"/>
  <c r="AP119" i="2"/>
  <c r="AR119" i="2"/>
  <c r="D118" i="2"/>
  <c r="B126" i="11" s="1"/>
  <c r="D114" i="2"/>
  <c r="B125" i="11" s="1"/>
  <c r="AF103" i="2"/>
  <c r="AP99" i="2"/>
  <c r="AI95" i="2"/>
  <c r="AY91" i="2"/>
  <c r="AZ91" i="2" s="1"/>
  <c r="AZ139" i="2"/>
  <c r="AQ135" i="2"/>
  <c r="AP131" i="2"/>
  <c r="AO119" i="2"/>
  <c r="AW111" i="2"/>
  <c r="D98" i="2"/>
  <c r="B121" i="11" s="1"/>
  <c r="AW83" i="2"/>
  <c r="AP135" i="2"/>
  <c r="AR135" i="2"/>
  <c r="AG119" i="2"/>
  <c r="AF119" i="2" s="1"/>
  <c r="AP103" i="2"/>
  <c r="AR103" i="2"/>
  <c r="AG99" i="2"/>
  <c r="AF99" i="2" s="1"/>
  <c r="D142" i="2"/>
  <c r="B132" i="11" s="1"/>
  <c r="AY131" i="2"/>
  <c r="AZ131" i="2" s="1"/>
  <c r="AP107" i="2"/>
  <c r="AQ103" i="2"/>
  <c r="AR91" i="2"/>
  <c r="AF143" i="2"/>
  <c r="X143" i="2" s="1"/>
  <c r="Y143" i="2" s="1"/>
  <c r="AI79" i="2"/>
  <c r="AL79" i="2" s="1"/>
  <c r="AZ59" i="2"/>
  <c r="AQ123" i="2"/>
  <c r="AR111" i="2"/>
  <c r="AZ127" i="2"/>
  <c r="BA127" i="2"/>
  <c r="D110" i="2"/>
  <c r="B124" i="11" s="1"/>
  <c r="AG111" i="2"/>
  <c r="AJ123" i="2"/>
  <c r="AL123" i="2"/>
  <c r="AZ99" i="2"/>
  <c r="BA99" i="2"/>
  <c r="V143" i="2"/>
  <c r="W143" i="2" s="1"/>
  <c r="D132" i="11" s="1"/>
  <c r="V115" i="2"/>
  <c r="W115" i="2" s="1"/>
  <c r="D125" i="11" s="1"/>
  <c r="X115" i="2"/>
  <c r="Y115" i="2" s="1"/>
  <c r="AJ139" i="2"/>
  <c r="AL139" i="2"/>
  <c r="AG95" i="2"/>
  <c r="AF95" i="2" s="1"/>
  <c r="D94" i="2"/>
  <c r="B120" i="11" s="1"/>
  <c r="AJ91" i="2"/>
  <c r="AL91" i="2"/>
  <c r="V135" i="2"/>
  <c r="W135" i="2" s="1"/>
  <c r="D130" i="11" s="1"/>
  <c r="X135" i="2"/>
  <c r="Y135" i="2" s="1"/>
  <c r="V103" i="2"/>
  <c r="W103" i="2" s="1"/>
  <c r="D122" i="11" s="1"/>
  <c r="X103" i="2"/>
  <c r="Y103" i="2" s="1"/>
  <c r="AJ135" i="2"/>
  <c r="AL135" i="2"/>
  <c r="D134" i="2"/>
  <c r="B130" i="11" s="1"/>
  <c r="AJ107" i="2"/>
  <c r="AL107" i="2"/>
  <c r="D122" i="2"/>
  <c r="B127" i="11" s="1"/>
  <c r="AZ111" i="2"/>
  <c r="BA111" i="2"/>
  <c r="D102" i="2"/>
  <c r="B122" i="11" s="1"/>
  <c r="AH91" i="2"/>
  <c r="AF91" i="2" s="1"/>
  <c r="D90" i="2"/>
  <c r="B119" i="11" s="1"/>
  <c r="AJ119" i="2"/>
  <c r="AL119" i="2"/>
  <c r="AF111" i="2"/>
  <c r="AJ103" i="2"/>
  <c r="AL103" i="2"/>
  <c r="AZ143" i="2"/>
  <c r="BA143" i="2"/>
  <c r="AG139" i="2"/>
  <c r="AF139" i="2" s="1"/>
  <c r="D138" i="2"/>
  <c r="B131" i="11" s="1"/>
  <c r="AZ115" i="2"/>
  <c r="BA115" i="2"/>
  <c r="AZ95" i="2"/>
  <c r="BA95" i="2"/>
  <c r="AJ143" i="2"/>
  <c r="AW139" i="2"/>
  <c r="AJ127" i="2"/>
  <c r="AW123" i="2"/>
  <c r="AW107" i="2"/>
  <c r="AW91" i="2"/>
  <c r="AQ143" i="2"/>
  <c r="AW138" i="2"/>
  <c r="AW135" i="2"/>
  <c r="AQ127" i="2"/>
  <c r="AW122" i="2"/>
  <c r="AW119" i="2"/>
  <c r="AO115" i="2"/>
  <c r="AQ111" i="2"/>
  <c r="AW106" i="2"/>
  <c r="AW103" i="2"/>
  <c r="AO99" i="2"/>
  <c r="AQ95" i="2"/>
  <c r="AW90" i="2"/>
  <c r="AP127" i="2"/>
  <c r="AG127" i="2"/>
  <c r="AF127" i="2" s="1"/>
  <c r="AP111" i="2"/>
  <c r="AR107" i="2"/>
  <c r="AP95" i="2"/>
  <c r="AO143" i="2"/>
  <c r="AW134" i="2"/>
  <c r="AL131" i="2"/>
  <c r="AO127" i="2"/>
  <c r="AW118" i="2"/>
  <c r="AL115" i="2"/>
  <c r="AO111" i="2"/>
  <c r="AQ107" i="2"/>
  <c r="AW102" i="2"/>
  <c r="AL99" i="2"/>
  <c r="AO95" i="2"/>
  <c r="BA139" i="2"/>
  <c r="BA123" i="2"/>
  <c r="AG123" i="2"/>
  <c r="AF123" i="2" s="1"/>
  <c r="BA107" i="2"/>
  <c r="AG107" i="2"/>
  <c r="AF107" i="2" s="1"/>
  <c r="AO79" i="2"/>
  <c r="AO75" i="2"/>
  <c r="AO59" i="2"/>
  <c r="AW62" i="2"/>
  <c r="AY71" i="2"/>
  <c r="AZ71" i="2" s="1"/>
  <c r="AQ71" i="2"/>
  <c r="AR83" i="2"/>
  <c r="AW79" i="2"/>
  <c r="AQ75" i="2"/>
  <c r="AP71" i="2"/>
  <c r="AW63" i="2"/>
  <c r="AQ83" i="2"/>
  <c r="AI83" i="2"/>
  <c r="AJ83" i="2" s="1"/>
  <c r="AJ63" i="2"/>
  <c r="AL63" i="2"/>
  <c r="AQ87" i="2"/>
  <c r="D70" i="2"/>
  <c r="B114" i="11" s="1"/>
  <c r="AW67" i="2"/>
  <c r="AP59" i="2"/>
  <c r="F85" i="2"/>
  <c r="AG87" i="2" s="1"/>
  <c r="AF87" i="2" s="1"/>
  <c r="AG71" i="2"/>
  <c r="AF71" i="2" s="1"/>
  <c r="AW66" i="2"/>
  <c r="AW71" i="2"/>
  <c r="AR67" i="2"/>
  <c r="AR71" i="2"/>
  <c r="AQ67" i="2"/>
  <c r="AP75" i="2"/>
  <c r="AJ75" i="2"/>
  <c r="AL75" i="2"/>
  <c r="AZ83" i="2"/>
  <c r="BA83" i="2"/>
  <c r="D78" i="2"/>
  <c r="B116" i="11" s="1"/>
  <c r="AZ79" i="2"/>
  <c r="BA79" i="2"/>
  <c r="AJ87" i="2"/>
  <c r="AL87" i="2"/>
  <c r="AJ59" i="2"/>
  <c r="AL59" i="2"/>
  <c r="AZ63" i="2"/>
  <c r="BA63" i="2"/>
  <c r="AZ67" i="2"/>
  <c r="BA67" i="2"/>
  <c r="D62" i="2"/>
  <c r="B112" i="11" s="1"/>
  <c r="AJ71" i="2"/>
  <c r="AL71" i="2"/>
  <c r="AO87" i="2"/>
  <c r="AW75" i="2"/>
  <c r="AW59" i="2"/>
  <c r="AY87" i="2"/>
  <c r="AP83" i="2"/>
  <c r="F81" i="2"/>
  <c r="AG83" i="2" s="1"/>
  <c r="AF83" i="2" s="1"/>
  <c r="AR79" i="2"/>
  <c r="D74" i="2"/>
  <c r="B115" i="11" s="1"/>
  <c r="AP67" i="2"/>
  <c r="F65" i="2"/>
  <c r="D66" i="2" s="1"/>
  <c r="B113" i="11" s="1"/>
  <c r="AR63" i="2"/>
  <c r="D58" i="2"/>
  <c r="B111" i="11" s="1"/>
  <c r="AO83" i="2"/>
  <c r="AQ79" i="2"/>
  <c r="AW74" i="2"/>
  <c r="AO67" i="2"/>
  <c r="AQ63" i="2"/>
  <c r="AW58" i="2"/>
  <c r="AP79" i="2"/>
  <c r="AG79" i="2"/>
  <c r="AF79" i="2" s="1"/>
  <c r="AR75" i="2"/>
  <c r="AP63" i="2"/>
  <c r="AG63" i="2"/>
  <c r="AF63" i="2" s="1"/>
  <c r="AR59" i="2"/>
  <c r="AW70" i="2"/>
  <c r="AL67" i="2"/>
  <c r="AO63" i="2"/>
  <c r="AQ59" i="2"/>
  <c r="AR87" i="2"/>
  <c r="BA75" i="2"/>
  <c r="AG75" i="2"/>
  <c r="AF75" i="2" s="1"/>
  <c r="BA59" i="2"/>
  <c r="AG59" i="2"/>
  <c r="AF59" i="2" s="1"/>
  <c r="AS95" i="3"/>
  <c r="AU95" i="3"/>
  <c r="AH91" i="3"/>
  <c r="O87" i="3"/>
  <c r="P87" i="3" s="1"/>
  <c r="AK59" i="3"/>
  <c r="AQ103" i="3"/>
  <c r="AS103" i="3" s="1"/>
  <c r="AS139" i="3"/>
  <c r="AU135" i="3"/>
  <c r="AI131" i="3"/>
  <c r="O71" i="3"/>
  <c r="P71" i="3" s="1"/>
  <c r="AG119" i="3"/>
  <c r="O115" i="3"/>
  <c r="P115" i="3" s="1"/>
  <c r="AG95" i="3"/>
  <c r="F138" i="3"/>
  <c r="B101" i="11" s="1"/>
  <c r="AM131" i="3"/>
  <c r="AK87" i="3"/>
  <c r="O83" i="3"/>
  <c r="P83" i="3" s="1"/>
  <c r="W71" i="3"/>
  <c r="AF119" i="3"/>
  <c r="AJ115" i="3"/>
  <c r="F98" i="3"/>
  <c r="B91" i="11" s="1"/>
  <c r="AF95" i="3"/>
  <c r="AG139" i="3"/>
  <c r="F134" i="3"/>
  <c r="B100" i="11" s="1"/>
  <c r="AJ135" i="3"/>
  <c r="F130" i="3"/>
  <c r="B99" i="11" s="1"/>
  <c r="AK71" i="3"/>
  <c r="AJ67" i="3"/>
  <c r="Y111" i="3"/>
  <c r="Z111" i="3" s="1"/>
  <c r="AC111" i="3" s="1"/>
  <c r="F110" i="3"/>
  <c r="B94" i="11" s="1"/>
  <c r="Y95" i="3"/>
  <c r="Z95" i="3" s="1"/>
  <c r="AA95" i="3" s="1"/>
  <c r="Y139" i="3"/>
  <c r="AO139" i="3" s="1"/>
  <c r="M139" i="3"/>
  <c r="N139" i="3" s="1"/>
  <c r="D101" i="11" s="1"/>
  <c r="AG135" i="3"/>
  <c r="AH135" i="3"/>
  <c r="O79" i="3"/>
  <c r="P79" i="3" s="1"/>
  <c r="O67" i="3"/>
  <c r="P67" i="3" s="1"/>
  <c r="AF115" i="3"/>
  <c r="AK103" i="3"/>
  <c r="F102" i="3"/>
  <c r="B92" i="11" s="1"/>
  <c r="Y135" i="3"/>
  <c r="AO135" i="3" s="1"/>
  <c r="AM91" i="3"/>
  <c r="AM79" i="3"/>
  <c r="AH71" i="3"/>
  <c r="AG123" i="3"/>
  <c r="AH123" i="3"/>
  <c r="AL111" i="3"/>
  <c r="O135" i="3"/>
  <c r="P135" i="3" s="1"/>
  <c r="O131" i="3"/>
  <c r="P131" i="3" s="1"/>
  <c r="AK91" i="3"/>
  <c r="AF123" i="3"/>
  <c r="AL103" i="3"/>
  <c r="AU99" i="3"/>
  <c r="AA131" i="3"/>
  <c r="AC131" i="3"/>
  <c r="AD131" i="3" s="1"/>
  <c r="AM139" i="3"/>
  <c r="AM135" i="3"/>
  <c r="AL131" i="3"/>
  <c r="AK139" i="3"/>
  <c r="AK135" i="3"/>
  <c r="D135" i="3"/>
  <c r="AK131" i="3"/>
  <c r="D131" i="3"/>
  <c r="AO134" i="3"/>
  <c r="AO130" i="3"/>
  <c r="AR139" i="3"/>
  <c r="AI139" i="3"/>
  <c r="AR135" i="3"/>
  <c r="AI135" i="3"/>
  <c r="Z135" i="3"/>
  <c r="Z115" i="3"/>
  <c r="AA115" i="3" s="1"/>
  <c r="AO115" i="3"/>
  <c r="AS127" i="3"/>
  <c r="AU127" i="3"/>
  <c r="AS107" i="3"/>
  <c r="AU107" i="3"/>
  <c r="AJ127" i="3"/>
  <c r="AM119" i="3"/>
  <c r="AJ87" i="3"/>
  <c r="AG127" i="3"/>
  <c r="AH127" i="3"/>
  <c r="AO123" i="3"/>
  <c r="AJ123" i="3"/>
  <c r="AQ119" i="3"/>
  <c r="AJ119" i="3"/>
  <c r="AQ115" i="3"/>
  <c r="W115" i="3"/>
  <c r="AL115" i="3"/>
  <c r="AU111" i="3"/>
  <c r="O111" i="3"/>
  <c r="P111" i="3" s="1"/>
  <c r="Y107" i="3"/>
  <c r="F106" i="3"/>
  <c r="B93" i="11" s="1"/>
  <c r="AJ79" i="3"/>
  <c r="O75" i="3"/>
  <c r="P75" i="3" s="1"/>
  <c r="AK127" i="3"/>
  <c r="AM123" i="3"/>
  <c r="AG115" i="3"/>
  <c r="AH115" i="3"/>
  <c r="AO111" i="3"/>
  <c r="AJ111" i="3"/>
  <c r="AL107" i="3"/>
  <c r="AU103" i="3"/>
  <c r="O103" i="3"/>
  <c r="P103" i="3" s="1"/>
  <c r="O99" i="3"/>
  <c r="P99" i="3" s="1"/>
  <c r="O91" i="3"/>
  <c r="P91" i="3" s="1"/>
  <c r="AF75" i="3"/>
  <c r="AH63" i="3"/>
  <c r="AF127" i="3"/>
  <c r="AK123" i="3"/>
  <c r="AK119" i="3"/>
  <c r="AG111" i="3"/>
  <c r="F94" i="3"/>
  <c r="B90" i="11" s="1"/>
  <c r="AK83" i="3"/>
  <c r="AJ75" i="3"/>
  <c r="AJ63" i="3"/>
  <c r="F126" i="3"/>
  <c r="B98" i="11" s="1"/>
  <c r="AK115" i="3"/>
  <c r="AM111" i="3"/>
  <c r="AG107" i="3"/>
  <c r="AH107" i="3"/>
  <c r="AO103" i="3"/>
  <c r="AJ103" i="3"/>
  <c r="AJ99" i="3"/>
  <c r="O95" i="3"/>
  <c r="P95" i="3" s="1"/>
  <c r="AG67" i="3"/>
  <c r="AF63" i="3"/>
  <c r="O127" i="3"/>
  <c r="P127" i="3" s="1"/>
  <c r="F122" i="3"/>
  <c r="B97" i="11" s="1"/>
  <c r="F118" i="3"/>
  <c r="B96" i="11" s="1"/>
  <c r="AK111" i="3"/>
  <c r="AG103" i="3"/>
  <c r="AH103" i="3"/>
  <c r="AO99" i="3"/>
  <c r="AG99" i="3"/>
  <c r="AH99" i="3"/>
  <c r="AM95" i="3"/>
  <c r="AM83" i="3"/>
  <c r="AK63" i="3"/>
  <c r="AL127" i="3"/>
  <c r="AU123" i="3"/>
  <c r="O123" i="3"/>
  <c r="P123" i="3" s="1"/>
  <c r="O119" i="3"/>
  <c r="P119" i="3" s="1"/>
  <c r="F114" i="3"/>
  <c r="B95" i="11" s="1"/>
  <c r="AK107" i="3"/>
  <c r="AA119" i="3"/>
  <c r="AC119" i="3"/>
  <c r="AA111" i="3"/>
  <c r="AA103" i="3"/>
  <c r="AC103" i="3"/>
  <c r="AA99" i="3"/>
  <c r="AC99" i="3"/>
  <c r="AA123" i="3"/>
  <c r="AC123" i="3"/>
  <c r="AA127" i="3"/>
  <c r="AC127" i="3"/>
  <c r="M127" i="3"/>
  <c r="N127" i="3" s="1"/>
  <c r="D98" i="11" s="1"/>
  <c r="M123" i="3"/>
  <c r="N123" i="3" s="1"/>
  <c r="D97" i="11" s="1"/>
  <c r="AL119" i="3"/>
  <c r="M119" i="3"/>
  <c r="N119" i="3" s="1"/>
  <c r="D96" i="11" s="1"/>
  <c r="M115" i="3"/>
  <c r="N115" i="3" s="1"/>
  <c r="D95" i="11" s="1"/>
  <c r="M111" i="3"/>
  <c r="N111" i="3" s="1"/>
  <c r="D94" i="11" s="1"/>
  <c r="M107" i="3"/>
  <c r="N107" i="3" s="1"/>
  <c r="D93" i="11" s="1"/>
  <c r="M103" i="3"/>
  <c r="N103" i="3" s="1"/>
  <c r="D92" i="11" s="1"/>
  <c r="AL99" i="3"/>
  <c r="M99" i="3"/>
  <c r="N99" i="3" s="1"/>
  <c r="D91" i="11" s="1"/>
  <c r="AL95" i="3"/>
  <c r="M95" i="3"/>
  <c r="N95" i="3" s="1"/>
  <c r="D90" i="11" s="1"/>
  <c r="AO126" i="3"/>
  <c r="AO122" i="3"/>
  <c r="AO118" i="3"/>
  <c r="AO114" i="3"/>
  <c r="AO110" i="3"/>
  <c r="AO106" i="3"/>
  <c r="AO102" i="3"/>
  <c r="AO98" i="3"/>
  <c r="AO94" i="3"/>
  <c r="AR127" i="3"/>
  <c r="AI127" i="3"/>
  <c r="AR123" i="3"/>
  <c r="AI123" i="3"/>
  <c r="AR119" i="3"/>
  <c r="AI119" i="3"/>
  <c r="AR115" i="3"/>
  <c r="AI115" i="3"/>
  <c r="AR111" i="3"/>
  <c r="AI111" i="3"/>
  <c r="AR107" i="3"/>
  <c r="AI107" i="3"/>
  <c r="AR103" i="3"/>
  <c r="AI103" i="3"/>
  <c r="AR99" i="3"/>
  <c r="AI99" i="3"/>
  <c r="AR95" i="3"/>
  <c r="AT59" i="3"/>
  <c r="AV59" i="3"/>
  <c r="AJ91" i="3"/>
  <c r="AG71" i="3"/>
  <c r="AK67" i="3"/>
  <c r="AH67" i="3"/>
  <c r="AH59" i="3"/>
  <c r="AG59" i="3"/>
  <c r="AG75" i="3"/>
  <c r="AG79" i="3"/>
  <c r="AK75" i="3"/>
  <c r="AH75" i="3"/>
  <c r="AJ71" i="3"/>
  <c r="AF67" i="3"/>
  <c r="AF59" i="3"/>
  <c r="AG83" i="3"/>
  <c r="AK79" i="3"/>
  <c r="AH79" i="3"/>
  <c r="AF71" i="3"/>
  <c r="AM63" i="3"/>
  <c r="AI59" i="3"/>
  <c r="AH83" i="3"/>
  <c r="AF91" i="3"/>
  <c r="AM75" i="3"/>
  <c r="AG87" i="3"/>
  <c r="AJ83" i="3"/>
  <c r="AG63" i="3"/>
  <c r="AM59" i="3"/>
  <c r="AG91" i="3"/>
  <c r="AF83" i="3"/>
  <c r="AO75" i="3"/>
  <c r="Z75" i="3"/>
  <c r="AO74" i="3"/>
  <c r="AO79" i="3"/>
  <c r="Z79" i="3"/>
  <c r="AO78" i="3"/>
  <c r="AO83" i="3"/>
  <c r="Z83" i="3"/>
  <c r="AO82" i="3"/>
  <c r="AO87" i="3"/>
  <c r="Z87" i="3"/>
  <c r="AO86" i="3"/>
  <c r="AO63" i="3"/>
  <c r="Z63" i="3"/>
  <c r="AO62" i="3"/>
  <c r="AO91" i="3"/>
  <c r="Z91" i="3"/>
  <c r="AO90" i="3"/>
  <c r="AO71" i="3"/>
  <c r="Z71" i="3"/>
  <c r="AO70" i="3"/>
  <c r="AO67" i="3"/>
  <c r="Z67" i="3"/>
  <c r="AO66" i="3"/>
  <c r="AO59" i="3"/>
  <c r="Z59" i="3"/>
  <c r="AO58" i="3"/>
  <c r="AL91" i="3"/>
  <c r="M91" i="3"/>
  <c r="N91" i="3" s="1"/>
  <c r="D89" i="11" s="1"/>
  <c r="F90" i="3"/>
  <c r="B89" i="11" s="1"/>
  <c r="AL87" i="3"/>
  <c r="M87" i="3"/>
  <c r="N87" i="3" s="1"/>
  <c r="D88" i="11" s="1"/>
  <c r="F86" i="3"/>
  <c r="B88" i="11" s="1"/>
  <c r="AL83" i="3"/>
  <c r="M83" i="3"/>
  <c r="N83" i="3" s="1"/>
  <c r="D87" i="11" s="1"/>
  <c r="F82" i="3"/>
  <c r="B87" i="11" s="1"/>
  <c r="AL79" i="3"/>
  <c r="M79" i="3"/>
  <c r="N79" i="3" s="1"/>
  <c r="D86" i="11" s="1"/>
  <c r="F78" i="3"/>
  <c r="B86" i="11" s="1"/>
  <c r="AL75" i="3"/>
  <c r="M75" i="3"/>
  <c r="N75" i="3" s="1"/>
  <c r="D85" i="11" s="1"/>
  <c r="F74" i="3"/>
  <c r="B85" i="11" s="1"/>
  <c r="AL71" i="3"/>
  <c r="M71" i="3"/>
  <c r="N71" i="3" s="1"/>
  <c r="D84" i="11" s="1"/>
  <c r="F70" i="3"/>
  <c r="B84" i="11" s="1"/>
  <c r="AL67" i="3"/>
  <c r="M67" i="3"/>
  <c r="N67" i="3" s="1"/>
  <c r="D83" i="11" s="1"/>
  <c r="F66" i="3"/>
  <c r="B83" i="11" s="1"/>
  <c r="AL63" i="3"/>
  <c r="M63" i="3"/>
  <c r="N63" i="3" s="1"/>
  <c r="D82" i="11" s="1"/>
  <c r="F62" i="3"/>
  <c r="B82" i="11" s="1"/>
  <c r="AL59" i="3"/>
  <c r="M59" i="3"/>
  <c r="N59" i="3" s="1"/>
  <c r="D81" i="11" s="1"/>
  <c r="F58" i="3"/>
  <c r="B81" i="11" s="1"/>
  <c r="AR91" i="3"/>
  <c r="AI91" i="3"/>
  <c r="AR87" i="3"/>
  <c r="AI87" i="3"/>
  <c r="AR83" i="3"/>
  <c r="AI83" i="3"/>
  <c r="AR79" i="3"/>
  <c r="AI79" i="3"/>
  <c r="AR75" i="3"/>
  <c r="AI75" i="3"/>
  <c r="AR71" i="3"/>
  <c r="AI71" i="3"/>
  <c r="AR67" i="3"/>
  <c r="AI67" i="3"/>
  <c r="AR63" i="3"/>
  <c r="AI63" i="3"/>
  <c r="AQ91" i="3"/>
  <c r="AQ87" i="3"/>
  <c r="AQ83" i="3"/>
  <c r="AQ79" i="3"/>
  <c r="AQ75" i="3"/>
  <c r="AQ71" i="3"/>
  <c r="AQ67" i="3"/>
  <c r="AQ63" i="3"/>
  <c r="AQ59" i="3"/>
  <c r="AK102" i="1"/>
  <c r="BB134" i="1"/>
  <c r="AN126" i="1"/>
  <c r="AZ126" i="1"/>
  <c r="BB126" i="1" s="1"/>
  <c r="AM110" i="1"/>
  <c r="AR102" i="1"/>
  <c r="BA98" i="1"/>
  <c r="BD130" i="1"/>
  <c r="AO134" i="1"/>
  <c r="AK134" i="1"/>
  <c r="F133" i="1"/>
  <c r="B69" i="11" s="1"/>
  <c r="AK138" i="1"/>
  <c r="AW134" i="1"/>
  <c r="BB130" i="1"/>
  <c r="AW118" i="1"/>
  <c r="BD114" i="1"/>
  <c r="AO118" i="1"/>
  <c r="AQ138" i="1"/>
  <c r="AK122" i="1"/>
  <c r="AK118" i="1"/>
  <c r="AQ134" i="1"/>
  <c r="BA126" i="1"/>
  <c r="AW106" i="1"/>
  <c r="AQ102" i="1"/>
  <c r="AL138" i="1"/>
  <c r="F121" i="1"/>
  <c r="B66" i="11" s="1"/>
  <c r="F117" i="1"/>
  <c r="B65" i="11" s="1"/>
  <c r="BB110" i="1"/>
  <c r="AL106" i="1"/>
  <c r="AM126" i="1"/>
  <c r="AQ122" i="1"/>
  <c r="AY118" i="1"/>
  <c r="BC118" i="1" s="1"/>
  <c r="AQ118" i="1"/>
  <c r="BB114" i="1"/>
  <c r="BA110" i="1"/>
  <c r="AW105" i="1"/>
  <c r="AN110" i="1"/>
  <c r="AE62" i="1"/>
  <c r="F137" i="1"/>
  <c r="B70" i="11" s="1"/>
  <c r="AL122" i="1"/>
  <c r="AM138" i="1"/>
  <c r="BA134" i="1"/>
  <c r="AP134" i="1"/>
  <c r="AO130" i="1"/>
  <c r="AO126" i="1"/>
  <c r="AM122" i="1"/>
  <c r="AP118" i="1"/>
  <c r="AO114" i="1"/>
  <c r="AO110" i="1"/>
  <c r="AM106" i="1"/>
  <c r="F125" i="1"/>
  <c r="B67" i="11" s="1"/>
  <c r="AR118" i="1"/>
  <c r="AC138" i="1"/>
  <c r="AB138" i="1" s="1"/>
  <c r="R138" i="1" s="1"/>
  <c r="S138" i="1" s="1"/>
  <c r="AW137" i="1"/>
  <c r="AE134" i="1"/>
  <c r="AC126" i="1"/>
  <c r="AB126" i="1" s="1"/>
  <c r="R126" i="1" s="1"/>
  <c r="S126" i="1" s="1"/>
  <c r="AC122" i="1"/>
  <c r="AB122" i="1" s="1"/>
  <c r="R122" i="1" s="1"/>
  <c r="S122" i="1" s="1"/>
  <c r="AW121" i="1"/>
  <c r="AE118" i="1"/>
  <c r="AC110" i="1"/>
  <c r="AB110" i="1" s="1"/>
  <c r="R110" i="1" s="1"/>
  <c r="S110" i="1" s="1"/>
  <c r="AC106" i="1"/>
  <c r="AB106" i="1" s="1"/>
  <c r="R106" i="1" s="1"/>
  <c r="S106" i="1" s="1"/>
  <c r="AE102" i="1"/>
  <c r="F129" i="1"/>
  <c r="B68" i="11" s="1"/>
  <c r="F113" i="1"/>
  <c r="B64" i="11" s="1"/>
  <c r="AQ130" i="1"/>
  <c r="AK126" i="1"/>
  <c r="AQ126" i="1"/>
  <c r="AQ114" i="1"/>
  <c r="AK110" i="1"/>
  <c r="AQ110" i="1"/>
  <c r="AW130" i="1"/>
  <c r="AZ138" i="1"/>
  <c r="AO138" i="1"/>
  <c r="AP126" i="1"/>
  <c r="AZ122" i="1"/>
  <c r="AO122" i="1"/>
  <c r="AP110" i="1"/>
  <c r="AZ106" i="1"/>
  <c r="AO106" i="1"/>
  <c r="AP102" i="1"/>
  <c r="AR134" i="1"/>
  <c r="F109" i="1"/>
  <c r="B63" i="11" s="1"/>
  <c r="AW138" i="1"/>
  <c r="AN134" i="1"/>
  <c r="AK130" i="1"/>
  <c r="AL130" i="1"/>
  <c r="AW126" i="1"/>
  <c r="AR126" i="1"/>
  <c r="AW122" i="1"/>
  <c r="AN118" i="1"/>
  <c r="AK114" i="1"/>
  <c r="AL114" i="1"/>
  <c r="AW110" i="1"/>
  <c r="AR110" i="1"/>
  <c r="AN102" i="1"/>
  <c r="AW114" i="1"/>
  <c r="AM134" i="1"/>
  <c r="AC134" i="1"/>
  <c r="AC130" i="1"/>
  <c r="AB130" i="1" s="1"/>
  <c r="R130" i="1" s="1"/>
  <c r="S130" i="1" s="1"/>
  <c r="AW129" i="1"/>
  <c r="AE126" i="1"/>
  <c r="AM118" i="1"/>
  <c r="AC118" i="1"/>
  <c r="AB118" i="1" s="1"/>
  <c r="R118" i="1" s="1"/>
  <c r="S118" i="1" s="1"/>
  <c r="AC114" i="1"/>
  <c r="AB114" i="1" s="1"/>
  <c r="R114" i="1" s="1"/>
  <c r="S114" i="1" s="1"/>
  <c r="AW113" i="1"/>
  <c r="AE110" i="1"/>
  <c r="F105" i="1"/>
  <c r="B62" i="11" s="1"/>
  <c r="AM102" i="1"/>
  <c r="AC102" i="1"/>
  <c r="AB102" i="1" s="1"/>
  <c r="R102" i="1" s="1"/>
  <c r="S102" i="1" s="1"/>
  <c r="AF130" i="1"/>
  <c r="AH130" i="1"/>
  <c r="AF114" i="1"/>
  <c r="AH114" i="1"/>
  <c r="E122" i="1"/>
  <c r="E118" i="1"/>
  <c r="BA138" i="1"/>
  <c r="BC138" i="1"/>
  <c r="BA122" i="1"/>
  <c r="BC122" i="1"/>
  <c r="BA106" i="1"/>
  <c r="BC106" i="1"/>
  <c r="E106" i="1"/>
  <c r="AF138" i="1"/>
  <c r="AH138" i="1"/>
  <c r="AB134" i="1"/>
  <c r="R134" i="1" s="1"/>
  <c r="S134" i="1" s="1"/>
  <c r="AF122" i="1"/>
  <c r="AH122" i="1"/>
  <c r="AF106" i="1"/>
  <c r="AH106" i="1"/>
  <c r="E134" i="1"/>
  <c r="E130" i="1"/>
  <c r="E126" i="1"/>
  <c r="E114" i="1"/>
  <c r="E110" i="1"/>
  <c r="E138" i="1"/>
  <c r="E102" i="1"/>
  <c r="BA130" i="1"/>
  <c r="BC130" i="1"/>
  <c r="BA114" i="1"/>
  <c r="BC114" i="1"/>
  <c r="AR138" i="1"/>
  <c r="AR130" i="1"/>
  <c r="AR122" i="1"/>
  <c r="AR114" i="1"/>
  <c r="AR106" i="1"/>
  <c r="F101" i="1"/>
  <c r="B61" i="11" s="1"/>
  <c r="AP138" i="1"/>
  <c r="AL134" i="1"/>
  <c r="AP130" i="1"/>
  <c r="AL126" i="1"/>
  <c r="AP122" i="1"/>
  <c r="AL118" i="1"/>
  <c r="AP114" i="1"/>
  <c r="AL110" i="1"/>
  <c r="AP106" i="1"/>
  <c r="AL102" i="1"/>
  <c r="BD134" i="1"/>
  <c r="BD118" i="1"/>
  <c r="BD110" i="1"/>
  <c r="BD102" i="1"/>
  <c r="AN138" i="1"/>
  <c r="BC134" i="1"/>
  <c r="AN130" i="1"/>
  <c r="BC126" i="1"/>
  <c r="AN122" i="1"/>
  <c r="AN114" i="1"/>
  <c r="BC110" i="1"/>
  <c r="AN106" i="1"/>
  <c r="BB90" i="1"/>
  <c r="AK86" i="1"/>
  <c r="AQ74" i="1"/>
  <c r="AN62" i="1"/>
  <c r="AK82" i="1"/>
  <c r="AK78" i="1"/>
  <c r="BB94" i="1"/>
  <c r="AQ82" i="1"/>
  <c r="AP62" i="1"/>
  <c r="BA82" i="1"/>
  <c r="AO70" i="1"/>
  <c r="AM62" i="1"/>
  <c r="AM70" i="1"/>
  <c r="AK98" i="1"/>
  <c r="AO94" i="1"/>
  <c r="AR82" i="1"/>
  <c r="AR74" i="1"/>
  <c r="AQ98" i="1"/>
  <c r="AN94" i="1"/>
  <c r="AO86" i="1"/>
  <c r="AQ66" i="1"/>
  <c r="AE86" i="1"/>
  <c r="BB78" i="1"/>
  <c r="AN78" i="1"/>
  <c r="BA90" i="1"/>
  <c r="BC90" i="1"/>
  <c r="AL94" i="1"/>
  <c r="AE94" i="1"/>
  <c r="AK90" i="1"/>
  <c r="AL78" i="1"/>
  <c r="BA70" i="1"/>
  <c r="AO62" i="1"/>
  <c r="AL62" i="1"/>
  <c r="AO98" i="1"/>
  <c r="AM94" i="1"/>
  <c r="AM90" i="1"/>
  <c r="AP82" i="1"/>
  <c r="AM98" i="1"/>
  <c r="AL90" i="1"/>
  <c r="AY86" i="1"/>
  <c r="BA86" i="1" s="1"/>
  <c r="AQ86" i="1"/>
  <c r="AM78" i="1"/>
  <c r="AK70" i="1"/>
  <c r="AL70" i="1"/>
  <c r="AQ90" i="1"/>
  <c r="AE70" i="1"/>
  <c r="AP94" i="1"/>
  <c r="AP90" i="1"/>
  <c r="AL86" i="1"/>
  <c r="AW62" i="1"/>
  <c r="BB66" i="1"/>
  <c r="BD66" i="1"/>
  <c r="BA66" i="1"/>
  <c r="BC66" i="1"/>
  <c r="BB82" i="1"/>
  <c r="BD82" i="1"/>
  <c r="BB74" i="1"/>
  <c r="BD74" i="1"/>
  <c r="BA74" i="1"/>
  <c r="BC74" i="1"/>
  <c r="BC98" i="1"/>
  <c r="AY62" i="1"/>
  <c r="BA62" i="1" s="1"/>
  <c r="BB98" i="1"/>
  <c r="AK94" i="1"/>
  <c r="AZ86" i="1"/>
  <c r="BB86" i="1" s="1"/>
  <c r="AY78" i="1"/>
  <c r="BA78" i="1" s="1"/>
  <c r="AE78" i="1"/>
  <c r="AH78" i="1" s="1"/>
  <c r="AD70" i="1"/>
  <c r="AR66" i="1"/>
  <c r="AK62" i="1"/>
  <c r="AD78" i="1"/>
  <c r="AY94" i="1"/>
  <c r="BA94" i="1" s="1"/>
  <c r="AD86" i="1"/>
  <c r="AL74" i="1"/>
  <c r="AL66" i="1"/>
  <c r="AP98" i="1"/>
  <c r="AD94" i="1"/>
  <c r="AR90" i="1"/>
  <c r="AM86" i="1"/>
  <c r="AL82" i="1"/>
  <c r="AO78" i="1"/>
  <c r="AK74" i="1"/>
  <c r="AN70" i="1"/>
  <c r="AQ70" i="1"/>
  <c r="AK66" i="1"/>
  <c r="AR98" i="1"/>
  <c r="AQ78" i="1"/>
  <c r="AO74" i="1"/>
  <c r="AD74" i="1"/>
  <c r="AP70" i="1"/>
  <c r="AO66" i="1"/>
  <c r="AD66" i="1"/>
  <c r="AL98" i="1"/>
  <c r="BD90" i="1"/>
  <c r="AN86" i="1"/>
  <c r="BC82" i="1"/>
  <c r="AO82" i="1"/>
  <c r="AD82" i="1"/>
  <c r="AP78" i="1"/>
  <c r="AM74" i="1"/>
  <c r="AM66" i="1"/>
  <c r="AM58" i="1"/>
  <c r="BD98" i="1"/>
  <c r="I96" i="1"/>
  <c r="F97" i="1" s="1"/>
  <c r="B60" i="11" s="1"/>
  <c r="AQ94" i="1"/>
  <c r="AO90" i="1"/>
  <c r="AD90" i="1"/>
  <c r="AP86" i="1"/>
  <c r="AM82" i="1"/>
  <c r="BB70" i="1"/>
  <c r="AQ62" i="1"/>
  <c r="E98" i="1"/>
  <c r="AC74" i="1"/>
  <c r="F73" i="1"/>
  <c r="B54" i="11" s="1"/>
  <c r="AC82" i="1"/>
  <c r="F81" i="1"/>
  <c r="B56" i="11" s="1"/>
  <c r="E70" i="1"/>
  <c r="AC90" i="1"/>
  <c r="F89" i="1"/>
  <c r="B58" i="11" s="1"/>
  <c r="E78" i="1"/>
  <c r="AC98" i="1"/>
  <c r="E86" i="1"/>
  <c r="AC94" i="1"/>
  <c r="F93" i="1"/>
  <c r="B59" i="11" s="1"/>
  <c r="E94" i="1"/>
  <c r="AC70" i="1"/>
  <c r="F69" i="1"/>
  <c r="B53" i="11" s="1"/>
  <c r="E62" i="1"/>
  <c r="AC78" i="1"/>
  <c r="F77" i="1"/>
  <c r="B55" i="11" s="1"/>
  <c r="E74" i="1"/>
  <c r="E66" i="1"/>
  <c r="E90" i="1"/>
  <c r="AC86" i="1"/>
  <c r="F85" i="1"/>
  <c r="B57" i="11" s="1"/>
  <c r="E82" i="1"/>
  <c r="AC62" i="1"/>
  <c r="AB62" i="1" s="1"/>
  <c r="R62" i="1" s="1"/>
  <c r="S62" i="1" s="1"/>
  <c r="F61" i="1"/>
  <c r="B51" i="11" s="1"/>
  <c r="AW94" i="1"/>
  <c r="AW86" i="1"/>
  <c r="AW78" i="1"/>
  <c r="AW70" i="1"/>
  <c r="G64" i="1"/>
  <c r="AC66" i="1" s="1"/>
  <c r="AP74" i="1"/>
  <c r="AP66" i="1"/>
  <c r="BD94" i="1"/>
  <c r="BD78" i="1"/>
  <c r="BD70" i="1"/>
  <c r="BD62" i="1"/>
  <c r="AN98" i="1"/>
  <c r="AE98" i="1"/>
  <c r="AR94" i="1"/>
  <c r="AN90" i="1"/>
  <c r="AE90" i="1"/>
  <c r="AR86" i="1"/>
  <c r="AN82" i="1"/>
  <c r="AE82" i="1"/>
  <c r="AR78" i="1"/>
  <c r="AN74" i="1"/>
  <c r="AE74" i="1"/>
  <c r="BC70" i="1"/>
  <c r="AR70" i="1"/>
  <c r="AN66" i="1"/>
  <c r="AE66" i="1"/>
  <c r="AR62" i="1"/>
  <c r="AW98" i="1"/>
  <c r="AW90" i="1"/>
  <c r="AW82" i="1"/>
  <c r="AW74" i="1"/>
  <c r="AW66" i="1"/>
  <c r="BA58" i="1"/>
  <c r="AK58" i="1"/>
  <c r="AQ58" i="1"/>
  <c r="AO58" i="1"/>
  <c r="AL58" i="1"/>
  <c r="BB58" i="1"/>
  <c r="AP58" i="1"/>
  <c r="BC58" i="1"/>
  <c r="AC58" i="1"/>
  <c r="E58" i="1"/>
  <c r="AN58" i="1"/>
  <c r="AE58" i="1"/>
  <c r="F57" i="1"/>
  <c r="B50" i="11" s="1"/>
  <c r="AW58" i="1"/>
  <c r="AD58" i="1"/>
  <c r="BD58" i="1"/>
  <c r="AR58" i="1"/>
  <c r="AK135" i="6"/>
  <c r="AJ135" i="6"/>
  <c r="AL135" i="6"/>
  <c r="AW139" i="6"/>
  <c r="AY139" i="6" s="1"/>
  <c r="AI139" i="6"/>
  <c r="AN135" i="6"/>
  <c r="AU135" i="6"/>
  <c r="D139" i="6"/>
  <c r="AJ139" i="6"/>
  <c r="E138" i="6"/>
  <c r="B39" i="11" s="1"/>
  <c r="AU139" i="6"/>
  <c r="AX139" i="6"/>
  <c r="AZ139" i="6" s="1"/>
  <c r="AA139" i="6"/>
  <c r="AF139" i="6" s="1"/>
  <c r="AG139" i="6" s="1"/>
  <c r="AP139" i="6"/>
  <c r="AO135" i="6"/>
  <c r="AM135" i="6"/>
  <c r="AN139" i="6"/>
  <c r="AX135" i="6"/>
  <c r="AZ135" i="6" s="1"/>
  <c r="BA135" i="6"/>
  <c r="AY135" i="6"/>
  <c r="E134" i="6"/>
  <c r="B38" i="11" s="1"/>
  <c r="AZ131" i="6"/>
  <c r="AU131" i="6"/>
  <c r="D135" i="6"/>
  <c r="AA135" i="6"/>
  <c r="AZ127" i="6"/>
  <c r="AM131" i="6"/>
  <c r="AN127" i="6"/>
  <c r="E126" i="6"/>
  <c r="B36" i="11" s="1"/>
  <c r="AL131" i="6"/>
  <c r="E130" i="6"/>
  <c r="B37" i="11" s="1"/>
  <c r="AW131" i="6"/>
  <c r="AY131" i="6" s="1"/>
  <c r="AI131" i="6"/>
  <c r="AP127" i="6"/>
  <c r="AO131" i="6"/>
  <c r="AW127" i="6"/>
  <c r="BA127" i="6" s="1"/>
  <c r="BB131" i="6"/>
  <c r="AK131" i="6"/>
  <c r="AJ131" i="6"/>
  <c r="AA131" i="6"/>
  <c r="AP131" i="6"/>
  <c r="AN131" i="6"/>
  <c r="AL123" i="6"/>
  <c r="AM127" i="6"/>
  <c r="AJ127" i="6"/>
  <c r="AO127" i="6"/>
  <c r="AI127" i="6"/>
  <c r="AL127" i="6"/>
  <c r="AI123" i="6"/>
  <c r="AU123" i="6"/>
  <c r="BB127" i="6"/>
  <c r="D127" i="6"/>
  <c r="AU127" i="6"/>
  <c r="AK127" i="6"/>
  <c r="AA127" i="6"/>
  <c r="AM123" i="6"/>
  <c r="AK123" i="6"/>
  <c r="AZ119" i="6"/>
  <c r="AW123" i="6"/>
  <c r="BA123" i="6" s="1"/>
  <c r="AZ115" i="6"/>
  <c r="AI119" i="6"/>
  <c r="AO119" i="6"/>
  <c r="AX123" i="6"/>
  <c r="AZ123" i="6" s="1"/>
  <c r="AK119" i="6"/>
  <c r="AW119" i="6"/>
  <c r="BA119" i="6" s="1"/>
  <c r="AU119" i="6"/>
  <c r="AL119" i="6"/>
  <c r="E122" i="6"/>
  <c r="B35" i="11" s="1"/>
  <c r="D123" i="6"/>
  <c r="AJ123" i="6"/>
  <c r="AA123" i="6"/>
  <c r="AP123" i="6"/>
  <c r="AO123" i="6"/>
  <c r="AN123" i="6"/>
  <c r="E114" i="6"/>
  <c r="B33" i="11" s="1"/>
  <c r="AM119" i="6"/>
  <c r="AW115" i="6"/>
  <c r="BA115" i="6" s="1"/>
  <c r="AM115" i="6"/>
  <c r="AJ115" i="6"/>
  <c r="AJ119" i="6"/>
  <c r="AU115" i="6"/>
  <c r="AP119" i="6"/>
  <c r="AN119" i="6"/>
  <c r="E118" i="6"/>
  <c r="B34" i="11" s="1"/>
  <c r="D119" i="6"/>
  <c r="AA119" i="6"/>
  <c r="BB119" i="6"/>
  <c r="AK115" i="6"/>
  <c r="AL115" i="6"/>
  <c r="AO115" i="6"/>
  <c r="AN115" i="6"/>
  <c r="AI115" i="6"/>
  <c r="AP115" i="6"/>
  <c r="D115" i="6"/>
  <c r="AA115" i="6"/>
  <c r="BB115" i="6"/>
  <c r="AP111" i="6"/>
  <c r="AX111" i="6"/>
  <c r="BB111" i="6" s="1"/>
  <c r="E110" i="6"/>
  <c r="B32" i="11" s="1"/>
  <c r="AO111" i="6"/>
  <c r="AL111" i="6"/>
  <c r="AL107" i="6"/>
  <c r="AM111" i="6"/>
  <c r="AO103" i="6"/>
  <c r="BA111" i="6"/>
  <c r="AJ111" i="6"/>
  <c r="AW103" i="6"/>
  <c r="BA103" i="6" s="1"/>
  <c r="AX107" i="6"/>
  <c r="AZ107" i="6" s="1"/>
  <c r="AU107" i="6"/>
  <c r="AY111" i="6"/>
  <c r="AN111" i="6"/>
  <c r="AU111" i="6"/>
  <c r="AK111" i="6"/>
  <c r="AI111" i="6"/>
  <c r="D111" i="6"/>
  <c r="AA111" i="6"/>
  <c r="E106" i="6"/>
  <c r="B31" i="11" s="1"/>
  <c r="AM107" i="6"/>
  <c r="AZ103" i="6"/>
  <c r="AK107" i="6"/>
  <c r="AW107" i="6"/>
  <c r="AY107" i="6" s="1"/>
  <c r="AI107" i="6"/>
  <c r="AJ103" i="6"/>
  <c r="AM103" i="6"/>
  <c r="E98" i="6"/>
  <c r="B29" i="11" s="1"/>
  <c r="AK103" i="6"/>
  <c r="D107" i="6"/>
  <c r="AJ107" i="6"/>
  <c r="AA107" i="6"/>
  <c r="AP107" i="6"/>
  <c r="AO107" i="6"/>
  <c r="AN107" i="6"/>
  <c r="AU102" i="6"/>
  <c r="AL103" i="6"/>
  <c r="AU103" i="6"/>
  <c r="E102" i="6"/>
  <c r="B30" i="11" s="1"/>
  <c r="AX99" i="6"/>
  <c r="AZ99" i="6" s="1"/>
  <c r="AP103" i="6"/>
  <c r="AI99" i="6"/>
  <c r="AN103" i="6"/>
  <c r="AD103" i="6"/>
  <c r="AF103" i="6"/>
  <c r="AG103" i="6" s="1"/>
  <c r="AB103" i="6"/>
  <c r="X103" i="6" s="1"/>
  <c r="R103" i="6" s="1"/>
  <c r="BB103" i="6"/>
  <c r="AI103" i="6"/>
  <c r="AO99" i="6"/>
  <c r="AP95" i="6"/>
  <c r="AL99" i="6"/>
  <c r="AO95" i="6"/>
  <c r="AJ99" i="6"/>
  <c r="BA99" i="6"/>
  <c r="AP99" i="6"/>
  <c r="AM99" i="6"/>
  <c r="AU95" i="6"/>
  <c r="AJ95" i="6"/>
  <c r="E94" i="6"/>
  <c r="B28" i="11" s="1"/>
  <c r="AN99" i="6"/>
  <c r="AL95" i="6"/>
  <c r="AX95" i="6"/>
  <c r="AZ95" i="6" s="1"/>
  <c r="AK95" i="6"/>
  <c r="AY99" i="6"/>
  <c r="AK99" i="6"/>
  <c r="AW95" i="6"/>
  <c r="AY95" i="6" s="1"/>
  <c r="AI95" i="6"/>
  <c r="AU99" i="6"/>
  <c r="AA99" i="6"/>
  <c r="AD99" i="6" s="1"/>
  <c r="AM95" i="6"/>
  <c r="AY91" i="6"/>
  <c r="AU91" i="6"/>
  <c r="AN95" i="6"/>
  <c r="D95" i="6"/>
  <c r="AA95" i="6"/>
  <c r="AO83" i="6"/>
  <c r="AJ91" i="6"/>
  <c r="E90" i="6"/>
  <c r="B27" i="11" s="1"/>
  <c r="AP91" i="6"/>
  <c r="E86" i="6"/>
  <c r="B26" i="11" s="1"/>
  <c r="AI91" i="6"/>
  <c r="AA91" i="6"/>
  <c r="AK91" i="6"/>
  <c r="AZ91" i="6"/>
  <c r="AI87" i="6"/>
  <c r="AM87" i="6"/>
  <c r="AK87" i="6"/>
  <c r="AW87" i="6"/>
  <c r="BA87" i="6" s="1"/>
  <c r="BB91" i="6"/>
  <c r="AP79" i="6"/>
  <c r="AN91" i="6"/>
  <c r="AY79" i="6"/>
  <c r="AM91" i="6"/>
  <c r="AL91" i="6"/>
  <c r="D91" i="6"/>
  <c r="BA91" i="6"/>
  <c r="AO91" i="6"/>
  <c r="AX79" i="6"/>
  <c r="BB79" i="6" s="1"/>
  <c r="AJ83" i="6"/>
  <c r="AZ83" i="6"/>
  <c r="AK83" i="6"/>
  <c r="E82" i="6"/>
  <c r="B25" i="11" s="1"/>
  <c r="AZ87" i="6"/>
  <c r="AL87" i="6"/>
  <c r="AI83" i="6"/>
  <c r="AL83" i="6"/>
  <c r="BA83" i="6"/>
  <c r="AU87" i="6"/>
  <c r="AO79" i="6"/>
  <c r="AU83" i="6"/>
  <c r="D87" i="6"/>
  <c r="AJ87" i="6"/>
  <c r="AA87" i="6"/>
  <c r="BB87" i="6"/>
  <c r="AP87" i="6"/>
  <c r="AO87" i="6"/>
  <c r="AN87" i="6"/>
  <c r="AP83" i="6"/>
  <c r="AJ79" i="6"/>
  <c r="AL79" i="6"/>
  <c r="AM83" i="6"/>
  <c r="E78" i="6"/>
  <c r="B24" i="11" s="1"/>
  <c r="AY83" i="6"/>
  <c r="AN83" i="6"/>
  <c r="AK79" i="6"/>
  <c r="D83" i="6"/>
  <c r="AA83" i="6"/>
  <c r="BB83" i="6"/>
  <c r="AU79" i="6"/>
  <c r="AI79" i="6"/>
  <c r="AP75" i="6"/>
  <c r="AA79" i="6"/>
  <c r="AM79" i="6"/>
  <c r="AX75" i="6"/>
  <c r="AZ75" i="6" s="1"/>
  <c r="E74" i="6"/>
  <c r="B23" i="11" s="1"/>
  <c r="AW75" i="6"/>
  <c r="AY75" i="6" s="1"/>
  <c r="AN79" i="6"/>
  <c r="BA79" i="6"/>
  <c r="D79" i="6"/>
  <c r="AO75" i="6"/>
  <c r="AN75" i="6"/>
  <c r="AM75" i="6"/>
  <c r="AL75" i="6"/>
  <c r="AU74" i="6"/>
  <c r="AU75" i="6"/>
  <c r="AJ71" i="6"/>
  <c r="AD75" i="6"/>
  <c r="AB75" i="6"/>
  <c r="X75" i="6" s="1"/>
  <c r="R75" i="6" s="1"/>
  <c r="AF75" i="6"/>
  <c r="AG75" i="6" s="1"/>
  <c r="AK75" i="6"/>
  <c r="AJ75" i="6"/>
  <c r="AI75" i="6"/>
  <c r="AL71" i="6"/>
  <c r="AU70" i="6"/>
  <c r="AA71" i="6"/>
  <c r="AF71" i="6" s="1"/>
  <c r="AG71" i="6" s="1"/>
  <c r="AI71" i="6"/>
  <c r="AP71" i="6"/>
  <c r="D71" i="6"/>
  <c r="AK71" i="6"/>
  <c r="AW71" i="6"/>
  <c r="AM71" i="6"/>
  <c r="AX71" i="6"/>
  <c r="E70" i="6"/>
  <c r="B22" i="11" s="1"/>
  <c r="AN71" i="6"/>
  <c r="AO71" i="6"/>
  <c r="AJ63" i="6"/>
  <c r="AM63" i="6"/>
  <c r="AJ67" i="6"/>
  <c r="AI63" i="6"/>
  <c r="AI59" i="6"/>
  <c r="AP59" i="6"/>
  <c r="AA63" i="6"/>
  <c r="AF63" i="6" s="1"/>
  <c r="AG63" i="6" s="1"/>
  <c r="AJ59" i="6"/>
  <c r="AA67" i="6"/>
  <c r="AF67" i="6" s="1"/>
  <c r="AG67" i="6" s="1"/>
  <c r="AO63" i="6"/>
  <c r="AU66" i="6"/>
  <c r="AP63" i="6"/>
  <c r="AI67" i="6"/>
  <c r="AP67" i="6"/>
  <c r="D67" i="6"/>
  <c r="AK67" i="6"/>
  <c r="AL67" i="6"/>
  <c r="AW67" i="6"/>
  <c r="AM67" i="6"/>
  <c r="AX67" i="6"/>
  <c r="E66" i="6"/>
  <c r="B21" i="11" s="1"/>
  <c r="AN67" i="6"/>
  <c r="AO67" i="6"/>
  <c r="D63" i="6"/>
  <c r="AK63" i="6"/>
  <c r="AU63" i="6"/>
  <c r="AL63" i="6"/>
  <c r="AW63" i="6"/>
  <c r="AX63" i="6"/>
  <c r="E62" i="6"/>
  <c r="B20" i="11" s="1"/>
  <c r="AN63" i="6"/>
  <c r="E58" i="6"/>
  <c r="B19" i="11" s="1"/>
  <c r="AA59" i="6"/>
  <c r="AF59" i="6" s="1"/>
  <c r="AG59" i="6" s="1"/>
  <c r="D59" i="6"/>
  <c r="AK59" i="6"/>
  <c r="AU59" i="6"/>
  <c r="AL59" i="6"/>
  <c r="AW59" i="6"/>
  <c r="AM59" i="6"/>
  <c r="AX59" i="6"/>
  <c r="AN59" i="6"/>
  <c r="AO59" i="6"/>
  <c r="D135" i="4" l="1"/>
  <c r="AY98" i="24"/>
  <c r="BA90" i="24"/>
  <c r="BC102" i="1"/>
  <c r="AZ108" i="13"/>
  <c r="BK79" i="4"/>
  <c r="AT151" i="25"/>
  <c r="BB106" i="24"/>
  <c r="AT75" i="25"/>
  <c r="AY74" i="24"/>
  <c r="AZ56" i="13"/>
  <c r="AH63" i="4"/>
  <c r="X63" i="4" s="1"/>
  <c r="AD134" i="24"/>
  <c r="AT161" i="25"/>
  <c r="BJ134" i="20"/>
  <c r="F133" i="20"/>
  <c r="B317" i="11" s="1"/>
  <c r="F113" i="20"/>
  <c r="B312" i="11" s="1"/>
  <c r="BK94" i="20"/>
  <c r="F149" i="25"/>
  <c r="AD151" i="25" s="1"/>
  <c r="AC151" i="25" s="1"/>
  <c r="AB134" i="24"/>
  <c r="X134" i="24" s="1"/>
  <c r="R134" i="24" s="1"/>
  <c r="AY102" i="24"/>
  <c r="BB78" i="24"/>
  <c r="AZ66" i="24"/>
  <c r="BA70" i="24"/>
  <c r="AJ67" i="4"/>
  <c r="AK67" i="4" s="1"/>
  <c r="BG83" i="4"/>
  <c r="AI92" i="5"/>
  <c r="Y92" i="5" s="1"/>
  <c r="AZ120" i="13"/>
  <c r="AL64" i="14"/>
  <c r="AL108" i="14"/>
  <c r="BJ130" i="20"/>
  <c r="D83" i="4"/>
  <c r="BB42" i="24"/>
  <c r="AZ68" i="5"/>
  <c r="AL92" i="14"/>
  <c r="AD98" i="24"/>
  <c r="BD126" i="1"/>
  <c r="BL123" i="4"/>
  <c r="BL103" i="4"/>
  <c r="AZ92" i="13"/>
  <c r="Y92" i="14"/>
  <c r="AJ161" i="25"/>
  <c r="AY122" i="24"/>
  <c r="AF138" i="24"/>
  <c r="AG138" i="24" s="1"/>
  <c r="AB98" i="24"/>
  <c r="X98" i="24" s="1"/>
  <c r="R98" i="24" s="1"/>
  <c r="AC95" i="3"/>
  <c r="AD95" i="3" s="1"/>
  <c r="BA91" i="2"/>
  <c r="AB62" i="24"/>
  <c r="X62" i="24" s="1"/>
  <c r="R62" i="24" s="1"/>
  <c r="AZ140" i="13"/>
  <c r="AL80" i="14"/>
  <c r="AF62" i="24"/>
  <c r="AG62" i="24" s="1"/>
  <c r="AY46" i="24"/>
  <c r="BA134" i="24"/>
  <c r="AJ99" i="4"/>
  <c r="AK99" i="4" s="1"/>
  <c r="Y80" i="14"/>
  <c r="AK85" i="25"/>
  <c r="AD62" i="24"/>
  <c r="Q115" i="3"/>
  <c r="AK123" i="4"/>
  <c r="D100" i="5"/>
  <c r="AB138" i="24"/>
  <c r="X138" i="24" s="1"/>
  <c r="R138" i="24" s="1"/>
  <c r="AD122" i="24"/>
  <c r="AD114" i="24"/>
  <c r="AF110" i="24"/>
  <c r="AG110" i="24" s="1"/>
  <c r="AB110" i="24"/>
  <c r="X110" i="24" s="1"/>
  <c r="R110" i="24" s="1"/>
  <c r="AD102" i="24"/>
  <c r="AF102" i="24"/>
  <c r="AG102" i="24" s="1"/>
  <c r="AD86" i="24"/>
  <c r="AY50" i="24"/>
  <c r="AY34" i="24"/>
  <c r="AF122" i="24"/>
  <c r="AG122" i="24" s="1"/>
  <c r="AF114" i="24"/>
  <c r="AG114" i="24" s="1"/>
  <c r="AF86" i="24"/>
  <c r="AG86" i="24" s="1"/>
  <c r="AB86" i="24"/>
  <c r="X86" i="24" s="1"/>
  <c r="R86" i="24" s="1"/>
  <c r="AZ74" i="24"/>
  <c r="AF74" i="24"/>
  <c r="AG74" i="24" s="1"/>
  <c r="AF54" i="24"/>
  <c r="AG54" i="24" s="1"/>
  <c r="AD54" i="24"/>
  <c r="AB54" i="24"/>
  <c r="X54" i="24" s="1"/>
  <c r="R54" i="24" s="1"/>
  <c r="AF38" i="24"/>
  <c r="AG38" i="24" s="1"/>
  <c r="AD38" i="24"/>
  <c r="AB38" i="24"/>
  <c r="X38" i="24" s="1"/>
  <c r="R38" i="24" s="1"/>
  <c r="AD70" i="24"/>
  <c r="AB70" i="24"/>
  <c r="X70" i="24" s="1"/>
  <c r="R70" i="24" s="1"/>
  <c r="AF70" i="24"/>
  <c r="AG70" i="24" s="1"/>
  <c r="BB58" i="24"/>
  <c r="BB134" i="24"/>
  <c r="AD106" i="24"/>
  <c r="AB106" i="24"/>
  <c r="X106" i="24" s="1"/>
  <c r="R106" i="24" s="1"/>
  <c r="AB34" i="24"/>
  <c r="X34" i="24" s="1"/>
  <c r="R34" i="24" s="1"/>
  <c r="AF34" i="24"/>
  <c r="AG34" i="24" s="1"/>
  <c r="AD34" i="24"/>
  <c r="AB118" i="24"/>
  <c r="X118" i="24" s="1"/>
  <c r="R118" i="24" s="1"/>
  <c r="AY62" i="24"/>
  <c r="AB30" i="24"/>
  <c r="X30" i="24" s="1"/>
  <c r="R30" i="24" s="1"/>
  <c r="AF30" i="24"/>
  <c r="AG30" i="24" s="1"/>
  <c r="AD30" i="24"/>
  <c r="AF46" i="24"/>
  <c r="AG46" i="24" s="1"/>
  <c r="AB46" i="24"/>
  <c r="X46" i="24" s="1"/>
  <c r="R46" i="24" s="1"/>
  <c r="AB66" i="24"/>
  <c r="X66" i="24" s="1"/>
  <c r="R66" i="24" s="1"/>
  <c r="AD66" i="24"/>
  <c r="AF66" i="24"/>
  <c r="AG66" i="24" s="1"/>
  <c r="AF118" i="24"/>
  <c r="AG118" i="24" s="1"/>
  <c r="AB74" i="24"/>
  <c r="X74" i="24" s="1"/>
  <c r="R74" i="24" s="1"/>
  <c r="AB26" i="24"/>
  <c r="X26" i="24" s="1"/>
  <c r="R26" i="24" s="1"/>
  <c r="AD26" i="24"/>
  <c r="BB130" i="24"/>
  <c r="AD118" i="24"/>
  <c r="AD90" i="24"/>
  <c r="AB90" i="24"/>
  <c r="X90" i="24" s="1"/>
  <c r="R90" i="24" s="1"/>
  <c r="AF90" i="24"/>
  <c r="AG90" i="24" s="1"/>
  <c r="AZ34" i="24"/>
  <c r="BA118" i="24"/>
  <c r="AY118" i="24"/>
  <c r="Q127" i="3"/>
  <c r="BG59" i="4"/>
  <c r="BK111" i="4"/>
  <c r="AZ96" i="13"/>
  <c r="BA42" i="24"/>
  <c r="AY42" i="24"/>
  <c r="AJ115" i="4"/>
  <c r="X123" i="4"/>
  <c r="Y56" i="14"/>
  <c r="BH106" i="20"/>
  <c r="Q99" i="3"/>
  <c r="Q95" i="3"/>
  <c r="D99" i="4"/>
  <c r="Q131" i="3"/>
  <c r="D63" i="4"/>
  <c r="BK134" i="20"/>
  <c r="AY127" i="6"/>
  <c r="BJ87" i="4"/>
  <c r="AZ92" i="5"/>
  <c r="BK102" i="20"/>
  <c r="BA114" i="24"/>
  <c r="AC115" i="3"/>
  <c r="AD115" i="3" s="1"/>
  <c r="AL132" i="13"/>
  <c r="AL84" i="14"/>
  <c r="BA66" i="24"/>
  <c r="BB114" i="24"/>
  <c r="AY94" i="24"/>
  <c r="BA94" i="24"/>
  <c r="AJ83" i="4"/>
  <c r="AK83" i="4" s="1"/>
  <c r="AJ118" i="25"/>
  <c r="AB130" i="24"/>
  <c r="X130" i="24" s="1"/>
  <c r="R130" i="24" s="1"/>
  <c r="AD130" i="24"/>
  <c r="AF130" i="24"/>
  <c r="AG130" i="24" s="1"/>
  <c r="AF126" i="24"/>
  <c r="AG126" i="24" s="1"/>
  <c r="AD126" i="24"/>
  <c r="AB126" i="24"/>
  <c r="X126" i="24" s="1"/>
  <c r="R126" i="24" s="1"/>
  <c r="AY126" i="24"/>
  <c r="BA126" i="24"/>
  <c r="AY106" i="24"/>
  <c r="BA106" i="24"/>
  <c r="AY78" i="24"/>
  <c r="BA78" i="24"/>
  <c r="AF78" i="24"/>
  <c r="AG78" i="24" s="1"/>
  <c r="AB78" i="24"/>
  <c r="X78" i="24" s="1"/>
  <c r="R78" i="24" s="1"/>
  <c r="AD78" i="24"/>
  <c r="BB54" i="24"/>
  <c r="AZ54" i="24"/>
  <c r="AY54" i="24"/>
  <c r="BA54" i="24"/>
  <c r="BB46" i="24"/>
  <c r="AZ46" i="24"/>
  <c r="AZ30" i="24"/>
  <c r="BB30" i="24"/>
  <c r="BB38" i="24"/>
  <c r="AZ38" i="24"/>
  <c r="AB42" i="24"/>
  <c r="X42" i="24" s="1"/>
  <c r="R42" i="24" s="1"/>
  <c r="AF42" i="24"/>
  <c r="AG42" i="24" s="1"/>
  <c r="AD42" i="24"/>
  <c r="AY38" i="24"/>
  <c r="BA38" i="24"/>
  <c r="U108" i="25"/>
  <c r="E324" i="11" s="1"/>
  <c r="U51" i="25"/>
  <c r="E321" i="11" s="1"/>
  <c r="AW161" i="25"/>
  <c r="AU161" i="25"/>
  <c r="AG94" i="25"/>
  <c r="AI94" i="25"/>
  <c r="AJ94" i="25" s="1"/>
  <c r="AC156" i="25"/>
  <c r="AT142" i="25"/>
  <c r="AV142" i="25"/>
  <c r="AG137" i="25"/>
  <c r="AI137" i="25"/>
  <c r="AJ137" i="25" s="1"/>
  <c r="AS99" i="25"/>
  <c r="AT99" i="25"/>
  <c r="AT123" i="25"/>
  <c r="AV123" i="25"/>
  <c r="AG113" i="25"/>
  <c r="AI113" i="25"/>
  <c r="AJ113" i="25" s="1"/>
  <c r="AJ104" i="25"/>
  <c r="AR104" i="25"/>
  <c r="AG151" i="25"/>
  <c r="AI151" i="25"/>
  <c r="P108" i="25"/>
  <c r="D324" i="11" s="1"/>
  <c r="Q99" i="25"/>
  <c r="Q108" i="25" s="1"/>
  <c r="S99" i="25"/>
  <c r="S108" i="25" s="1"/>
  <c r="R108" i="25"/>
  <c r="AW123" i="25"/>
  <c r="AU123" i="25"/>
  <c r="AK104" i="25"/>
  <c r="AS104" i="25"/>
  <c r="R127" i="25"/>
  <c r="S118" i="25"/>
  <c r="S127" i="25" s="1"/>
  <c r="AT113" i="25"/>
  <c r="AS113" i="25"/>
  <c r="AV85" i="25"/>
  <c r="AT85" i="25"/>
  <c r="U70" i="25"/>
  <c r="E322" i="11" s="1"/>
  <c r="AJ66" i="25"/>
  <c r="AR66" i="25"/>
  <c r="AT61" i="25"/>
  <c r="AS61" i="25"/>
  <c r="AC61" i="25"/>
  <c r="P70" i="25"/>
  <c r="D322" i="11" s="1"/>
  <c r="Q61" i="25"/>
  <c r="Q70" i="25" s="1"/>
  <c r="AG80" i="25"/>
  <c r="AI80" i="25"/>
  <c r="AJ80" i="25" s="1"/>
  <c r="AK66" i="25"/>
  <c r="AS66" i="25"/>
  <c r="AW85" i="25"/>
  <c r="AU85" i="25"/>
  <c r="AI75" i="25"/>
  <c r="AJ75" i="25" s="1"/>
  <c r="AG75" i="25"/>
  <c r="AC42" i="25"/>
  <c r="AS42" i="25"/>
  <c r="AT42" i="25"/>
  <c r="P51" i="25"/>
  <c r="D321" i="11" s="1"/>
  <c r="Q42" i="25"/>
  <c r="Q51" i="25" s="1"/>
  <c r="AJ47" i="25"/>
  <c r="AR47" i="25"/>
  <c r="AK47" i="25"/>
  <c r="AS47" i="25"/>
  <c r="AI42" i="25"/>
  <c r="AJ42" i="25" s="1"/>
  <c r="AG42" i="25"/>
  <c r="R51" i="25"/>
  <c r="S42" i="25"/>
  <c r="S51" i="25" s="1"/>
  <c r="AD23" i="25"/>
  <c r="AK28" i="25"/>
  <c r="AR28" i="25"/>
  <c r="AV28" i="25" s="1"/>
  <c r="AF23" i="25"/>
  <c r="AI23" i="25" s="1"/>
  <c r="AP22" i="25"/>
  <c r="AI18" i="25"/>
  <c r="AP17" i="25"/>
  <c r="Y76" i="13"/>
  <c r="X107" i="4"/>
  <c r="AP107" i="20"/>
  <c r="AQ106" i="20" s="1"/>
  <c r="Z115" i="2"/>
  <c r="D95" i="4"/>
  <c r="D152" i="11"/>
  <c r="D124" i="13"/>
  <c r="Y136" i="13"/>
  <c r="AS23" i="25"/>
  <c r="X95" i="4"/>
  <c r="D139" i="4"/>
  <c r="D190" i="11"/>
  <c r="AL140" i="14"/>
  <c r="AM103" i="2"/>
  <c r="Z143" i="2"/>
  <c r="Y104" i="13"/>
  <c r="BH122" i="20"/>
  <c r="AS18" i="25"/>
  <c r="D107" i="4"/>
  <c r="AK72" i="5"/>
  <c r="AL72" i="5" s="1"/>
  <c r="AZ60" i="13"/>
  <c r="Y100" i="13"/>
  <c r="Y140" i="14"/>
  <c r="X139" i="4"/>
  <c r="BI107" i="4"/>
  <c r="Y108" i="13"/>
  <c r="D139" i="3"/>
  <c r="X103" i="4"/>
  <c r="AJ103" i="4"/>
  <c r="AK103" i="4" s="1"/>
  <c r="AZ88" i="13"/>
  <c r="Y124" i="13"/>
  <c r="AL68" i="14"/>
  <c r="BA71" i="2"/>
  <c r="X111" i="4"/>
  <c r="Y84" i="13"/>
  <c r="Y120" i="13"/>
  <c r="Y96" i="13"/>
  <c r="X83" i="4"/>
  <c r="AJ79" i="2"/>
  <c r="AM135" i="2"/>
  <c r="AZ124" i="5"/>
  <c r="Y112" i="13"/>
  <c r="Y68" i="14"/>
  <c r="AL56" i="14"/>
  <c r="AM115" i="2"/>
  <c r="D123" i="4"/>
  <c r="BJ118" i="20"/>
  <c r="AP18" i="25"/>
  <c r="AP164" i="25" s="1"/>
  <c r="AU28" i="25"/>
  <c r="AD28" i="25"/>
  <c r="Z28" i="25" s="1"/>
  <c r="T28" i="25" s="1"/>
  <c r="AE23" i="25"/>
  <c r="AH28" i="25"/>
  <c r="AI28" i="25" s="1"/>
  <c r="BB22" i="24"/>
  <c r="AY22" i="24"/>
  <c r="BA22" i="24"/>
  <c r="AF22" i="24"/>
  <c r="AG22" i="24" s="1"/>
  <c r="AD22" i="24"/>
  <c r="AB22" i="24"/>
  <c r="X22" i="24" s="1"/>
  <c r="R22" i="24" s="1"/>
  <c r="BA139" i="6"/>
  <c r="F117" i="20"/>
  <c r="B313" i="11" s="1"/>
  <c r="BI126" i="20"/>
  <c r="BK126" i="20"/>
  <c r="AL126" i="20"/>
  <c r="AJ126" i="20" s="1"/>
  <c r="F129" i="20"/>
  <c r="B316" i="11" s="1"/>
  <c r="BI114" i="20"/>
  <c r="BK114" i="20"/>
  <c r="BI130" i="20"/>
  <c r="BK130" i="20"/>
  <c r="BI110" i="20"/>
  <c r="BK110" i="20"/>
  <c r="J120" i="20"/>
  <c r="AL122" i="20" s="1"/>
  <c r="AJ122" i="20" s="1"/>
  <c r="AL110" i="20"/>
  <c r="AJ110" i="20" s="1"/>
  <c r="F125" i="20"/>
  <c r="B315" i="11" s="1"/>
  <c r="AL98" i="20"/>
  <c r="AJ98" i="20" s="1"/>
  <c r="F97" i="20"/>
  <c r="B308" i="11" s="1"/>
  <c r="BH98" i="20"/>
  <c r="BJ98" i="20"/>
  <c r="F93" i="20"/>
  <c r="B307" i="11" s="1"/>
  <c r="AL138" i="20"/>
  <c r="AJ138" i="20" s="1"/>
  <c r="F109" i="20"/>
  <c r="B311" i="11" s="1"/>
  <c r="BH78" i="20"/>
  <c r="AN58" i="20"/>
  <c r="AA58" i="20" s="1"/>
  <c r="BJ90" i="20"/>
  <c r="BH90" i="20"/>
  <c r="F57" i="20"/>
  <c r="B298" i="11" s="1"/>
  <c r="AL78" i="20"/>
  <c r="AJ78" i="20" s="1"/>
  <c r="BH70" i="20"/>
  <c r="BJ70" i="20"/>
  <c r="F81" i="20"/>
  <c r="B304" i="11" s="1"/>
  <c r="AL66" i="20"/>
  <c r="AJ66" i="20" s="1"/>
  <c r="BJ58" i="20"/>
  <c r="BH58" i="20"/>
  <c r="J68" i="20"/>
  <c r="F69" i="20" s="1"/>
  <c r="B301" i="11" s="1"/>
  <c r="AL62" i="20"/>
  <c r="AJ62" i="20" s="1"/>
  <c r="BK58" i="20"/>
  <c r="BI58" i="20"/>
  <c r="BI78" i="20"/>
  <c r="BK78" i="20"/>
  <c r="AN74" i="20"/>
  <c r="AA74" i="20" s="1"/>
  <c r="J88" i="20"/>
  <c r="AL90" i="20" s="1"/>
  <c r="AJ90" i="20" s="1"/>
  <c r="AN78" i="20"/>
  <c r="AA78" i="20" s="1"/>
  <c r="BI90" i="20"/>
  <c r="BK90" i="20"/>
  <c r="J72" i="20"/>
  <c r="F73" i="20" s="1"/>
  <c r="B302" i="11" s="1"/>
  <c r="AL74" i="20"/>
  <c r="AJ74" i="20" s="1"/>
  <c r="BI82" i="20"/>
  <c r="BK82" i="20"/>
  <c r="AN90" i="20"/>
  <c r="AA90" i="20" s="1"/>
  <c r="BI66" i="20"/>
  <c r="BK66" i="20"/>
  <c r="AL70" i="20"/>
  <c r="AJ70" i="20" s="1"/>
  <c r="J84" i="20"/>
  <c r="F85" i="20" s="1"/>
  <c r="B305" i="11" s="1"/>
  <c r="BK70" i="20"/>
  <c r="BI70" i="20"/>
  <c r="BK86" i="20"/>
  <c r="BI86" i="20"/>
  <c r="BI74" i="20"/>
  <c r="BK74" i="20"/>
  <c r="F89" i="20"/>
  <c r="B306" i="11" s="1"/>
  <c r="AL124" i="14"/>
  <c r="Y124" i="14"/>
  <c r="AL120" i="14"/>
  <c r="Y84" i="14"/>
  <c r="Y120" i="14"/>
  <c r="AZ88" i="14"/>
  <c r="AY88" i="14"/>
  <c r="AY104" i="14"/>
  <c r="AZ104" i="14"/>
  <c r="AZ120" i="14"/>
  <c r="AY120" i="14"/>
  <c r="AZ136" i="14"/>
  <c r="AY136" i="14"/>
  <c r="AZ92" i="14"/>
  <c r="AY92" i="14"/>
  <c r="AZ108" i="14"/>
  <c r="AY108" i="14"/>
  <c r="AZ124" i="14"/>
  <c r="AY124" i="14"/>
  <c r="AZ140" i="14"/>
  <c r="AY140" i="14"/>
  <c r="AY96" i="14"/>
  <c r="AZ96" i="14"/>
  <c r="AZ112" i="14"/>
  <c r="AY112" i="14"/>
  <c r="AZ128" i="14"/>
  <c r="AY128" i="14"/>
  <c r="AZ100" i="14"/>
  <c r="AY100" i="14"/>
  <c r="AZ116" i="14"/>
  <c r="AY116" i="14"/>
  <c r="AZ132" i="14"/>
  <c r="AY132" i="14"/>
  <c r="AZ56" i="14"/>
  <c r="AY56" i="14"/>
  <c r="AZ60" i="14"/>
  <c r="AY60" i="14"/>
  <c r="AZ64" i="14"/>
  <c r="AY64" i="14"/>
  <c r="AZ68" i="14"/>
  <c r="AY68" i="14"/>
  <c r="AZ72" i="14"/>
  <c r="AY72" i="14"/>
  <c r="AZ76" i="14"/>
  <c r="AY76" i="14"/>
  <c r="AZ80" i="14"/>
  <c r="AY80" i="14"/>
  <c r="AZ84" i="14"/>
  <c r="AY84" i="14"/>
  <c r="AT80" i="13"/>
  <c r="U80" i="13"/>
  <c r="V80" i="13" s="1"/>
  <c r="D210" i="11" s="1"/>
  <c r="W80" i="13"/>
  <c r="X80" i="13" s="1"/>
  <c r="AT140" i="13"/>
  <c r="U72" i="13"/>
  <c r="V72" i="13" s="1"/>
  <c r="D208" i="11" s="1"/>
  <c r="AL108" i="13"/>
  <c r="Y88" i="13"/>
  <c r="AT108" i="13"/>
  <c r="AL112" i="13"/>
  <c r="AZ124" i="13"/>
  <c r="F107" i="13"/>
  <c r="B217" i="11" s="1"/>
  <c r="U108" i="13"/>
  <c r="V108" i="13" s="1"/>
  <c r="AL136" i="13"/>
  <c r="AL128" i="13"/>
  <c r="F139" i="13"/>
  <c r="B225" i="11" s="1"/>
  <c r="Y132" i="13"/>
  <c r="Y116" i="13"/>
  <c r="AZ136" i="13"/>
  <c r="W140" i="13"/>
  <c r="X140" i="13" s="1"/>
  <c r="D132" i="13"/>
  <c r="D136" i="13"/>
  <c r="D140" i="13"/>
  <c r="Y128" i="13"/>
  <c r="D128" i="13"/>
  <c r="AL124" i="13"/>
  <c r="D120" i="13"/>
  <c r="AZ116" i="13"/>
  <c r="AY116" i="13"/>
  <c r="D88" i="13"/>
  <c r="AL116" i="13"/>
  <c r="AL88" i="13"/>
  <c r="D112" i="13"/>
  <c r="AL104" i="13"/>
  <c r="D100" i="13"/>
  <c r="D96" i="13"/>
  <c r="AL96" i="13"/>
  <c r="AL92" i="13"/>
  <c r="X92" i="13"/>
  <c r="D116" i="13"/>
  <c r="D92" i="13"/>
  <c r="AZ100" i="13"/>
  <c r="AY100" i="13"/>
  <c r="AL100" i="13"/>
  <c r="D104" i="13"/>
  <c r="AL120" i="13"/>
  <c r="Y64" i="13"/>
  <c r="U60" i="13"/>
  <c r="V60" i="13" s="1"/>
  <c r="AT56" i="13"/>
  <c r="F79" i="13"/>
  <c r="B210" i="11" s="1"/>
  <c r="Y56" i="13"/>
  <c r="F55" i="13"/>
  <c r="B204" i="11" s="1"/>
  <c r="F59" i="13"/>
  <c r="B205" i="11" s="1"/>
  <c r="Y68" i="13"/>
  <c r="W60" i="13"/>
  <c r="X60" i="13" s="1"/>
  <c r="F71" i="13"/>
  <c r="B208" i="11" s="1"/>
  <c r="W72" i="13"/>
  <c r="X72" i="13" s="1"/>
  <c r="AL68" i="13"/>
  <c r="AL64" i="13"/>
  <c r="AL56" i="13"/>
  <c r="AY68" i="13"/>
  <c r="AZ68" i="13"/>
  <c r="AL76" i="13"/>
  <c r="D84" i="13"/>
  <c r="D56" i="13"/>
  <c r="D76" i="13"/>
  <c r="AL84" i="13"/>
  <c r="AZ84" i="13"/>
  <c r="AY84" i="13"/>
  <c r="D68" i="13"/>
  <c r="D64" i="13"/>
  <c r="AK112" i="5"/>
  <c r="AL112" i="5" s="1"/>
  <c r="AK136" i="5"/>
  <c r="AL136" i="5" s="1"/>
  <c r="AY100" i="5"/>
  <c r="D92" i="5"/>
  <c r="D124" i="5"/>
  <c r="AY72" i="5"/>
  <c r="AZ64" i="5"/>
  <c r="AI68" i="5"/>
  <c r="Y68" i="5" s="1"/>
  <c r="AY116" i="5"/>
  <c r="AZ116" i="5"/>
  <c r="AY136" i="5"/>
  <c r="AZ136" i="5"/>
  <c r="D96" i="5"/>
  <c r="AZ132" i="5"/>
  <c r="AY104" i="5"/>
  <c r="AZ104" i="5"/>
  <c r="AI60" i="5"/>
  <c r="Y60" i="5" s="1"/>
  <c r="AK60" i="5"/>
  <c r="AL60" i="5" s="1"/>
  <c r="D136" i="5"/>
  <c r="AY108" i="5"/>
  <c r="AZ108" i="5"/>
  <c r="AY140" i="5"/>
  <c r="AZ140" i="5"/>
  <c r="AK100" i="5"/>
  <c r="AL100" i="5" s="1"/>
  <c r="AI100" i="5"/>
  <c r="Y100" i="5" s="1"/>
  <c r="D116" i="5"/>
  <c r="AZ120" i="5"/>
  <c r="AY120" i="5"/>
  <c r="AY112" i="5"/>
  <c r="AZ112" i="5"/>
  <c r="AZ88" i="5"/>
  <c r="AY88" i="5"/>
  <c r="AK132" i="5"/>
  <c r="AL132" i="5" s="1"/>
  <c r="AI132" i="5"/>
  <c r="Y132" i="5" s="1"/>
  <c r="D80" i="5"/>
  <c r="D76" i="5"/>
  <c r="AY76" i="5"/>
  <c r="AZ76" i="5"/>
  <c r="AZ56" i="5"/>
  <c r="AY56" i="5"/>
  <c r="AY80" i="5"/>
  <c r="AZ80" i="5"/>
  <c r="D84" i="5"/>
  <c r="AZ84" i="5"/>
  <c r="AY84" i="5"/>
  <c r="AJ127" i="4"/>
  <c r="AK127" i="4" s="1"/>
  <c r="X127" i="4"/>
  <c r="AK111" i="4"/>
  <c r="X115" i="4"/>
  <c r="BK139" i="4"/>
  <c r="BH139" i="4"/>
  <c r="AJ91" i="4"/>
  <c r="AK91" i="4" s="1"/>
  <c r="AJ71" i="4"/>
  <c r="AK71" i="4" s="1"/>
  <c r="BK115" i="4"/>
  <c r="BH115" i="4"/>
  <c r="BL127" i="4"/>
  <c r="BI127" i="4"/>
  <c r="BK123" i="4"/>
  <c r="BH123" i="4"/>
  <c r="BI131" i="4"/>
  <c r="BL131" i="4"/>
  <c r="BK59" i="4"/>
  <c r="BH59" i="4"/>
  <c r="AK139" i="4"/>
  <c r="BG67" i="4"/>
  <c r="BJ67" i="4"/>
  <c r="BI115" i="4"/>
  <c r="BL115" i="4"/>
  <c r="D103" i="4"/>
  <c r="D111" i="4"/>
  <c r="AK115" i="4"/>
  <c r="AK107" i="4"/>
  <c r="BK107" i="4"/>
  <c r="BH107" i="4"/>
  <c r="BH135" i="4"/>
  <c r="BK135" i="4"/>
  <c r="D127" i="4"/>
  <c r="D115" i="4"/>
  <c r="BI135" i="4"/>
  <c r="BL135" i="4"/>
  <c r="BG123" i="4"/>
  <c r="BJ123" i="4"/>
  <c r="BI111" i="4"/>
  <c r="BL111" i="4"/>
  <c r="T119" i="4"/>
  <c r="U119" i="4" s="1"/>
  <c r="D158" i="11" s="1"/>
  <c r="V119" i="4"/>
  <c r="W119" i="4" s="1"/>
  <c r="AZ119" i="4"/>
  <c r="E118" i="4"/>
  <c r="B158" i="11" s="1"/>
  <c r="BG119" i="4"/>
  <c r="BJ119" i="4"/>
  <c r="BH131" i="4"/>
  <c r="BK131" i="4"/>
  <c r="BL119" i="4"/>
  <c r="BI119" i="4"/>
  <c r="V131" i="4"/>
  <c r="W131" i="4" s="1"/>
  <c r="T131" i="4"/>
  <c r="U131" i="4" s="1"/>
  <c r="D161" i="11" s="1"/>
  <c r="E130" i="4"/>
  <c r="B161" i="11" s="1"/>
  <c r="BI91" i="4"/>
  <c r="BL91" i="4"/>
  <c r="X91" i="4"/>
  <c r="BJ91" i="4"/>
  <c r="BG91" i="4"/>
  <c r="T79" i="4"/>
  <c r="U79" i="4" s="1"/>
  <c r="D148" i="11" s="1"/>
  <c r="V79" i="4"/>
  <c r="W79" i="4" s="1"/>
  <c r="AZ79" i="4"/>
  <c r="X99" i="4"/>
  <c r="BI63" i="4"/>
  <c r="AH79" i="4"/>
  <c r="AJ79" i="4"/>
  <c r="BK67" i="4"/>
  <c r="AK95" i="4"/>
  <c r="BL99" i="4"/>
  <c r="BI99" i="4"/>
  <c r="BI95" i="4"/>
  <c r="BL95" i="4"/>
  <c r="BG75" i="4"/>
  <c r="BJ75" i="4"/>
  <c r="V87" i="4"/>
  <c r="T87" i="4"/>
  <c r="U87" i="4" s="1"/>
  <c r="D150" i="11" s="1"/>
  <c r="D67" i="4"/>
  <c r="AZ87" i="4"/>
  <c r="BH87" i="4"/>
  <c r="BK87" i="4"/>
  <c r="D91" i="4"/>
  <c r="BG63" i="4"/>
  <c r="BJ63" i="4"/>
  <c r="BI71" i="4"/>
  <c r="BL71" i="4"/>
  <c r="BK75" i="4"/>
  <c r="BH75" i="4"/>
  <c r="BH91" i="4"/>
  <c r="BK91" i="4"/>
  <c r="T75" i="4"/>
  <c r="U75" i="4" s="1"/>
  <c r="D147" i="11" s="1"/>
  <c r="V75" i="4"/>
  <c r="W75" i="4" s="1"/>
  <c r="AZ75" i="4"/>
  <c r="BI67" i="4"/>
  <c r="BL67" i="4"/>
  <c r="X59" i="4"/>
  <c r="AK63" i="4"/>
  <c r="X71" i="4"/>
  <c r="AK59" i="4"/>
  <c r="D59" i="4"/>
  <c r="BL87" i="4"/>
  <c r="BI87" i="4"/>
  <c r="BG79" i="4"/>
  <c r="BJ79" i="4"/>
  <c r="D71" i="4"/>
  <c r="E86" i="4"/>
  <c r="B150" i="11" s="1"/>
  <c r="X119" i="2"/>
  <c r="Y119" i="2" s="1"/>
  <c r="V119" i="2"/>
  <c r="W119" i="2" s="1"/>
  <c r="D126" i="11" s="1"/>
  <c r="V131" i="2"/>
  <c r="W131" i="2" s="1"/>
  <c r="D129" i="11" s="1"/>
  <c r="X131" i="2"/>
  <c r="Y131" i="2" s="1"/>
  <c r="V99" i="2"/>
  <c r="W99" i="2" s="1"/>
  <c r="D121" i="11" s="1"/>
  <c r="X99" i="2"/>
  <c r="Y99" i="2" s="1"/>
  <c r="BA131" i="2"/>
  <c r="AL111" i="2"/>
  <c r="Z135" i="2"/>
  <c r="AG67" i="2"/>
  <c r="AF67" i="2" s="1"/>
  <c r="V67" i="2" s="1"/>
  <c r="W67" i="2" s="1"/>
  <c r="D113" i="11" s="1"/>
  <c r="AL95" i="2"/>
  <c r="AJ95" i="2"/>
  <c r="AZ135" i="2"/>
  <c r="BA135" i="2"/>
  <c r="X107" i="2"/>
  <c r="Y107" i="2" s="1"/>
  <c r="V107" i="2"/>
  <c r="W107" i="2" s="1"/>
  <c r="D123" i="11" s="1"/>
  <c r="X139" i="2"/>
  <c r="Y139" i="2" s="1"/>
  <c r="V139" i="2"/>
  <c r="W139" i="2" s="1"/>
  <c r="D131" i="11" s="1"/>
  <c r="V95" i="2"/>
  <c r="W95" i="2" s="1"/>
  <c r="D120" i="11" s="1"/>
  <c r="X95" i="2"/>
  <c r="X123" i="2"/>
  <c r="Y123" i="2" s="1"/>
  <c r="V123" i="2"/>
  <c r="W123" i="2" s="1"/>
  <c r="D127" i="11" s="1"/>
  <c r="V127" i="2"/>
  <c r="W127" i="2" s="1"/>
  <c r="D128" i="11" s="1"/>
  <c r="X127" i="2"/>
  <c r="V111" i="2"/>
  <c r="W111" i="2" s="1"/>
  <c r="D124" i="11" s="1"/>
  <c r="X111" i="2"/>
  <c r="E115" i="2"/>
  <c r="E135" i="2"/>
  <c r="E143" i="2"/>
  <c r="X91" i="2"/>
  <c r="Y91" i="2" s="1"/>
  <c r="V91" i="2"/>
  <c r="W91" i="2" s="1"/>
  <c r="D119" i="11" s="1"/>
  <c r="Z103" i="2"/>
  <c r="E103" i="2"/>
  <c r="AM143" i="2"/>
  <c r="V71" i="2"/>
  <c r="W71" i="2" s="1"/>
  <c r="D114" i="11" s="1"/>
  <c r="X71" i="2"/>
  <c r="Y71" i="2" s="1"/>
  <c r="AL83" i="2"/>
  <c r="V87" i="2"/>
  <c r="W87" i="2" s="1"/>
  <c r="X87" i="2"/>
  <c r="Y87" i="2" s="1"/>
  <c r="D86" i="2"/>
  <c r="B118" i="11" s="1"/>
  <c r="X75" i="2"/>
  <c r="Y75" i="2" s="1"/>
  <c r="V75" i="2"/>
  <c r="W75" i="2" s="1"/>
  <c r="D115" i="11" s="1"/>
  <c r="X67" i="2"/>
  <c r="Y67" i="2" s="1"/>
  <c r="V63" i="2"/>
  <c r="W63" i="2" s="1"/>
  <c r="D112" i="11" s="1"/>
  <c r="X63" i="2"/>
  <c r="V83" i="2"/>
  <c r="W83" i="2" s="1"/>
  <c r="D117" i="11" s="1"/>
  <c r="X83" i="2"/>
  <c r="Y83" i="2" s="1"/>
  <c r="D82" i="2"/>
  <c r="B117" i="11" s="1"/>
  <c r="V79" i="2"/>
  <c r="W79" i="2" s="1"/>
  <c r="D116" i="11" s="1"/>
  <c r="X79" i="2"/>
  <c r="X59" i="2"/>
  <c r="Y59" i="2" s="1"/>
  <c r="V59" i="2"/>
  <c r="W59" i="2" s="1"/>
  <c r="D111" i="11" s="1"/>
  <c r="BA87" i="2"/>
  <c r="AZ87" i="2"/>
  <c r="Q111" i="3"/>
  <c r="AO95" i="3"/>
  <c r="AO138" i="3"/>
  <c r="Q103" i="3"/>
  <c r="Z139" i="3"/>
  <c r="AC139" i="3" s="1"/>
  <c r="AD139" i="3" s="1"/>
  <c r="AT139" i="3"/>
  <c r="AV139" i="3"/>
  <c r="AA135" i="3"/>
  <c r="Q135" i="3" s="1"/>
  <c r="AC135" i="3"/>
  <c r="AD135" i="3" s="1"/>
  <c r="AV135" i="3"/>
  <c r="AT135" i="3"/>
  <c r="AS115" i="3"/>
  <c r="AU115" i="3"/>
  <c r="AD99" i="3"/>
  <c r="AS119" i="3"/>
  <c r="AU119" i="3"/>
  <c r="Z107" i="3"/>
  <c r="AO107" i="3"/>
  <c r="Q123" i="3"/>
  <c r="Q119" i="3"/>
  <c r="AT115" i="3"/>
  <c r="AV115" i="3"/>
  <c r="AV99" i="3"/>
  <c r="AT99" i="3"/>
  <c r="AT103" i="3"/>
  <c r="AV103" i="3"/>
  <c r="AV119" i="3"/>
  <c r="AT119" i="3"/>
  <c r="D99" i="3"/>
  <c r="D123" i="3"/>
  <c r="D127" i="3"/>
  <c r="AD123" i="3"/>
  <c r="AD103" i="3"/>
  <c r="AV107" i="3"/>
  <c r="AT107" i="3"/>
  <c r="AT123" i="3"/>
  <c r="AV123" i="3"/>
  <c r="D103" i="3"/>
  <c r="AD111" i="3"/>
  <c r="D95" i="3"/>
  <c r="D107" i="3"/>
  <c r="AD127" i="3"/>
  <c r="AD119" i="3"/>
  <c r="D119" i="3"/>
  <c r="AT95" i="3"/>
  <c r="AV95" i="3"/>
  <c r="AV111" i="3"/>
  <c r="AT111" i="3"/>
  <c r="AV127" i="3"/>
  <c r="AT127" i="3"/>
  <c r="D111" i="3"/>
  <c r="D115" i="3"/>
  <c r="AS59" i="3"/>
  <c r="AU59" i="3"/>
  <c r="AA91" i="3"/>
  <c r="Q91" i="3" s="1"/>
  <c r="AC91" i="3"/>
  <c r="AD91" i="3" s="1"/>
  <c r="AS63" i="3"/>
  <c r="AU63" i="3"/>
  <c r="D79" i="3"/>
  <c r="AA79" i="3"/>
  <c r="Q79" i="3" s="1"/>
  <c r="AC79" i="3"/>
  <c r="AD79" i="3" s="1"/>
  <c r="AV75" i="3"/>
  <c r="AT75" i="3"/>
  <c r="AS67" i="3"/>
  <c r="AU67" i="3"/>
  <c r="AT63" i="3"/>
  <c r="AV63" i="3"/>
  <c r="AT79" i="3"/>
  <c r="AV79" i="3"/>
  <c r="D59" i="3"/>
  <c r="D91" i="3"/>
  <c r="AV91" i="3"/>
  <c r="AT91" i="3"/>
  <c r="AS71" i="3"/>
  <c r="AU71" i="3"/>
  <c r="D71" i="3"/>
  <c r="AA63" i="3"/>
  <c r="Q63" i="3" s="1"/>
  <c r="AC63" i="3"/>
  <c r="AD63" i="3" s="1"/>
  <c r="AS75" i="3"/>
  <c r="AU75" i="3"/>
  <c r="AV67" i="3"/>
  <c r="AT67" i="3"/>
  <c r="AV83" i="3"/>
  <c r="AT83" i="3"/>
  <c r="D83" i="3"/>
  <c r="AA71" i="3"/>
  <c r="Q71" i="3" s="1"/>
  <c r="AC71" i="3"/>
  <c r="AD71" i="3" s="1"/>
  <c r="AA83" i="3"/>
  <c r="Q83" i="3" s="1"/>
  <c r="AC83" i="3"/>
  <c r="AD83" i="3" s="1"/>
  <c r="AS91" i="3"/>
  <c r="AU91" i="3"/>
  <c r="AS79" i="3"/>
  <c r="AU79" i="3"/>
  <c r="D63" i="3"/>
  <c r="AA59" i="3"/>
  <c r="Q59" i="3" s="1"/>
  <c r="AC59" i="3"/>
  <c r="AD59" i="3" s="1"/>
  <c r="AA67" i="3"/>
  <c r="Q67" i="3" s="1"/>
  <c r="AC67" i="3"/>
  <c r="AD67" i="3" s="1"/>
  <c r="AS83" i="3"/>
  <c r="AU83" i="3"/>
  <c r="AV71" i="3"/>
  <c r="AT71" i="3"/>
  <c r="AV87" i="3"/>
  <c r="AT87" i="3"/>
  <c r="D75" i="3"/>
  <c r="AA75" i="3"/>
  <c r="Q75" i="3" s="1"/>
  <c r="AC75" i="3"/>
  <c r="AD75" i="3" s="1"/>
  <c r="D67" i="3"/>
  <c r="AS87" i="3"/>
  <c r="AU87" i="3"/>
  <c r="D87" i="3"/>
  <c r="AA87" i="3"/>
  <c r="Q87" i="3" s="1"/>
  <c r="AC87" i="3"/>
  <c r="AD87" i="3" s="1"/>
  <c r="T114" i="1"/>
  <c r="BA118" i="1"/>
  <c r="T130" i="1"/>
  <c r="BC86" i="1"/>
  <c r="T122" i="1"/>
  <c r="AF62" i="1"/>
  <c r="T62" i="1" s="1"/>
  <c r="AH62" i="1"/>
  <c r="AI62" i="1" s="1"/>
  <c r="T106" i="1"/>
  <c r="AF134" i="1"/>
  <c r="T134" i="1" s="1"/>
  <c r="AH134" i="1"/>
  <c r="AI134" i="1" s="1"/>
  <c r="AF126" i="1"/>
  <c r="T126" i="1" s="1"/>
  <c r="AH126" i="1"/>
  <c r="AI126" i="1" s="1"/>
  <c r="BB138" i="1"/>
  <c r="BD138" i="1"/>
  <c r="AF102" i="1"/>
  <c r="T102" i="1" s="1"/>
  <c r="AH102" i="1"/>
  <c r="AI102" i="1" s="1"/>
  <c r="AB66" i="1"/>
  <c r="R66" i="1" s="1"/>
  <c r="S66" i="1" s="1"/>
  <c r="AI114" i="1"/>
  <c r="BB106" i="1"/>
  <c r="BD106" i="1"/>
  <c r="AF118" i="1"/>
  <c r="T118" i="1" s="1"/>
  <c r="AH118" i="1"/>
  <c r="AI118" i="1" s="1"/>
  <c r="AI122" i="1"/>
  <c r="AF110" i="1"/>
  <c r="T110" i="1" s="1"/>
  <c r="AH110" i="1"/>
  <c r="AI110" i="1" s="1"/>
  <c r="T138" i="1"/>
  <c r="BB122" i="1"/>
  <c r="BD122" i="1"/>
  <c r="AI106" i="1"/>
  <c r="AI138" i="1"/>
  <c r="AI130" i="1"/>
  <c r="AB74" i="1"/>
  <c r="R74" i="1" s="1"/>
  <c r="S74" i="1" s="1"/>
  <c r="AB86" i="1"/>
  <c r="R86" i="1" s="1"/>
  <c r="S86" i="1" s="1"/>
  <c r="BC78" i="1"/>
  <c r="AH70" i="1"/>
  <c r="AB70" i="1"/>
  <c r="R70" i="1" s="1"/>
  <c r="S70" i="1" s="1"/>
  <c r="AF86" i="1"/>
  <c r="AH86" i="1"/>
  <c r="AB82" i="1"/>
  <c r="R82" i="1" s="1"/>
  <c r="S82" i="1" s="1"/>
  <c r="AF94" i="1"/>
  <c r="AH94" i="1"/>
  <c r="AB90" i="1"/>
  <c r="R90" i="1" s="1"/>
  <c r="S90" i="1" s="1"/>
  <c r="AF70" i="1"/>
  <c r="BD86" i="1"/>
  <c r="AD98" i="1"/>
  <c r="AB98" i="1" s="1"/>
  <c r="R98" i="1" s="1"/>
  <c r="S98" i="1" s="1"/>
  <c r="BC62" i="1"/>
  <c r="BC94" i="1"/>
  <c r="AF78" i="1"/>
  <c r="AB78" i="1"/>
  <c r="R78" i="1" s="1"/>
  <c r="S78" i="1" s="1"/>
  <c r="AB94" i="1"/>
  <c r="R94" i="1" s="1"/>
  <c r="S94" i="1" s="1"/>
  <c r="F65" i="1"/>
  <c r="B52" i="11" s="1"/>
  <c r="AF74" i="1"/>
  <c r="AH74" i="1"/>
  <c r="AF90" i="1"/>
  <c r="AH90" i="1"/>
  <c r="AF66" i="1"/>
  <c r="AH66" i="1"/>
  <c r="AF82" i="1"/>
  <c r="AH82" i="1"/>
  <c r="AF98" i="1"/>
  <c r="AH98" i="1"/>
  <c r="AB58" i="1"/>
  <c r="R58" i="1" s="1"/>
  <c r="S58" i="1" s="1"/>
  <c r="AH58" i="1"/>
  <c r="AF58" i="1"/>
  <c r="BB139" i="6"/>
  <c r="AB139" i="6"/>
  <c r="X139" i="6" s="1"/>
  <c r="AD139" i="6"/>
  <c r="BB135" i="6"/>
  <c r="AD135" i="6"/>
  <c r="AF135" i="6"/>
  <c r="AG135" i="6" s="1"/>
  <c r="AB135" i="6"/>
  <c r="BA131" i="6"/>
  <c r="AD131" i="6"/>
  <c r="AF131" i="6"/>
  <c r="AG131" i="6" s="1"/>
  <c r="AB131" i="6"/>
  <c r="X131" i="6" s="1"/>
  <c r="R131" i="6" s="1"/>
  <c r="AY123" i="6"/>
  <c r="AD127" i="6"/>
  <c r="AF127" i="6"/>
  <c r="AG127" i="6" s="1"/>
  <c r="AB127" i="6"/>
  <c r="X127" i="6" s="1"/>
  <c r="R127" i="6" s="1"/>
  <c r="AY115" i="6"/>
  <c r="BB123" i="6"/>
  <c r="AY119" i="6"/>
  <c r="AD123" i="6"/>
  <c r="AF123" i="6"/>
  <c r="AG123" i="6" s="1"/>
  <c r="AB123" i="6"/>
  <c r="X123" i="6" s="1"/>
  <c r="R123" i="6" s="1"/>
  <c r="AD119" i="6"/>
  <c r="AF119" i="6"/>
  <c r="AG119" i="6" s="1"/>
  <c r="AB119" i="6"/>
  <c r="X119" i="6" s="1"/>
  <c r="R119" i="6" s="1"/>
  <c r="AD115" i="6"/>
  <c r="AF115" i="6"/>
  <c r="AG115" i="6" s="1"/>
  <c r="AB115" i="6"/>
  <c r="X115" i="6" s="1"/>
  <c r="R115" i="6" s="1"/>
  <c r="BB107" i="6"/>
  <c r="AZ111" i="6"/>
  <c r="AY103" i="6"/>
  <c r="AD111" i="6"/>
  <c r="AF111" i="6"/>
  <c r="AG111" i="6" s="1"/>
  <c r="AB111" i="6"/>
  <c r="X111" i="6" s="1"/>
  <c r="R111" i="6" s="1"/>
  <c r="BA107" i="6"/>
  <c r="AD107" i="6"/>
  <c r="AF107" i="6"/>
  <c r="AG107" i="6" s="1"/>
  <c r="AB107" i="6"/>
  <c r="X107" i="6" s="1"/>
  <c r="R107" i="6" s="1"/>
  <c r="BB99" i="6"/>
  <c r="AF91" i="6"/>
  <c r="AG91" i="6" s="1"/>
  <c r="BB95" i="6"/>
  <c r="BA95" i="6"/>
  <c r="AF99" i="6"/>
  <c r="AG99" i="6" s="1"/>
  <c r="AB99" i="6"/>
  <c r="X99" i="6" s="1"/>
  <c r="R99" i="6" s="1"/>
  <c r="AD95" i="6"/>
  <c r="AF95" i="6"/>
  <c r="AG95" i="6" s="1"/>
  <c r="AB95" i="6"/>
  <c r="X95" i="6" s="1"/>
  <c r="R95" i="6" s="1"/>
  <c r="AY87" i="6"/>
  <c r="AD91" i="6"/>
  <c r="AB91" i="6"/>
  <c r="X91" i="6" s="1"/>
  <c r="R91" i="6" s="1"/>
  <c r="AZ79" i="6"/>
  <c r="AD87" i="6"/>
  <c r="AF87" i="6"/>
  <c r="AG87" i="6" s="1"/>
  <c r="AB87" i="6"/>
  <c r="X87" i="6" s="1"/>
  <c r="R87" i="6" s="1"/>
  <c r="BB75" i="6"/>
  <c r="AD83" i="6"/>
  <c r="AB83" i="6"/>
  <c r="X83" i="6" s="1"/>
  <c r="R83" i="6" s="1"/>
  <c r="AF83" i="6"/>
  <c r="AG83" i="6" s="1"/>
  <c r="AF79" i="6"/>
  <c r="AG79" i="6" s="1"/>
  <c r="BA75" i="6"/>
  <c r="AD79" i="6"/>
  <c r="AB79" i="6"/>
  <c r="X79" i="6" s="1"/>
  <c r="R79" i="6" s="1"/>
  <c r="AB71" i="6"/>
  <c r="X71" i="6" s="1"/>
  <c r="R71" i="6" s="1"/>
  <c r="AD71" i="6"/>
  <c r="BB71" i="6"/>
  <c r="AZ71" i="6"/>
  <c r="BA71" i="6"/>
  <c r="AY71" i="6"/>
  <c r="AD63" i="6"/>
  <c r="AB63" i="6"/>
  <c r="X63" i="6" s="1"/>
  <c r="R63" i="6" s="1"/>
  <c r="AD67" i="6"/>
  <c r="AB59" i="6"/>
  <c r="AB67" i="6"/>
  <c r="BB67" i="6"/>
  <c r="AZ67" i="6"/>
  <c r="BA67" i="6"/>
  <c r="AY67" i="6"/>
  <c r="BB63" i="6"/>
  <c r="AZ63" i="6"/>
  <c r="BA63" i="6"/>
  <c r="AY63" i="6"/>
  <c r="AD59" i="6"/>
  <c r="BA59" i="6"/>
  <c r="AY59" i="6"/>
  <c r="BB59" i="6"/>
  <c r="AZ59" i="6"/>
  <c r="R151" i="25" l="1"/>
  <c r="AJ151" i="25" s="1"/>
  <c r="P151" i="25"/>
  <c r="R156" i="25"/>
  <c r="P156" i="25"/>
  <c r="Q156" i="25" s="1"/>
  <c r="AI74" i="1"/>
  <c r="AM131" i="2"/>
  <c r="AL140" i="13"/>
  <c r="E119" i="2"/>
  <c r="E99" i="2"/>
  <c r="AA139" i="3"/>
  <c r="Q139" i="3" s="1"/>
  <c r="Y80" i="13"/>
  <c r="E71" i="2"/>
  <c r="D72" i="13"/>
  <c r="AL80" i="13"/>
  <c r="AO164" i="25"/>
  <c r="AU104" i="25"/>
  <c r="AW104" i="25"/>
  <c r="AV104" i="25"/>
  <c r="AT104" i="25"/>
  <c r="AV66" i="25"/>
  <c r="AT66" i="25"/>
  <c r="AU66" i="25"/>
  <c r="AW66" i="25"/>
  <c r="AU47" i="25"/>
  <c r="AW47" i="25"/>
  <c r="AV47" i="25"/>
  <c r="AW162" i="25" s="1" a="1"/>
  <c r="AW162" i="25" s="1"/>
  <c r="AT47" i="25"/>
  <c r="AT28" i="25"/>
  <c r="AG23" i="25"/>
  <c r="AD18" i="25"/>
  <c r="AC18" i="25" s="1"/>
  <c r="Z83" i="2"/>
  <c r="Z123" i="2"/>
  <c r="X119" i="4"/>
  <c r="D60" i="13"/>
  <c r="D205" i="11"/>
  <c r="Y92" i="13"/>
  <c r="Y72" i="13"/>
  <c r="D108" i="13"/>
  <c r="D217" i="11"/>
  <c r="T66" i="1"/>
  <c r="Z75" i="2"/>
  <c r="Z139" i="2"/>
  <c r="X79" i="4"/>
  <c r="Z59" i="2"/>
  <c r="X75" i="4"/>
  <c r="Y60" i="13"/>
  <c r="Z67" i="2"/>
  <c r="X131" i="4"/>
  <c r="X59" i="6"/>
  <c r="R59" i="6" s="1"/>
  <c r="Z71" i="2"/>
  <c r="Z87" i="2"/>
  <c r="Z107" i="2"/>
  <c r="AM119" i="2"/>
  <c r="Y140" i="13"/>
  <c r="D118" i="11"/>
  <c r="Z99" i="2"/>
  <c r="AK119" i="4"/>
  <c r="AL60" i="13"/>
  <c r="Z119" i="2"/>
  <c r="Z91" i="2"/>
  <c r="T74" i="1"/>
  <c r="E131" i="2"/>
  <c r="Z131" i="2"/>
  <c r="AK79" i="4"/>
  <c r="D80" i="13"/>
  <c r="AC23" i="25"/>
  <c r="F121" i="20"/>
  <c r="B314" i="11" s="1"/>
  <c r="AL86" i="20"/>
  <c r="AJ86" i="20" s="1"/>
  <c r="AL72" i="13"/>
  <c r="AK75" i="4"/>
  <c r="D119" i="4"/>
  <c r="D131" i="4"/>
  <c r="AK131" i="4"/>
  <c r="D79" i="4"/>
  <c r="D75" i="4"/>
  <c r="D87" i="4"/>
  <c r="W87" i="4"/>
  <c r="AK87" i="4"/>
  <c r="AM99" i="2"/>
  <c r="AM139" i="2"/>
  <c r="AM107" i="2"/>
  <c r="AM71" i="2"/>
  <c r="E123" i="2"/>
  <c r="Y95" i="2"/>
  <c r="AM95" i="2"/>
  <c r="E95" i="2"/>
  <c r="Y111" i="2"/>
  <c r="AM111" i="2"/>
  <c r="E139" i="2"/>
  <c r="E91" i="2"/>
  <c r="E111" i="2"/>
  <c r="Y127" i="2"/>
  <c r="AM127" i="2"/>
  <c r="E107" i="2"/>
  <c r="AM123" i="2"/>
  <c r="AM91" i="2"/>
  <c r="E127" i="2"/>
  <c r="E87" i="2"/>
  <c r="AM87" i="2"/>
  <c r="AM75" i="2"/>
  <c r="AM67" i="2"/>
  <c r="E83" i="2"/>
  <c r="Y63" i="2"/>
  <c r="AM63" i="2"/>
  <c r="Y79" i="2"/>
  <c r="AM79" i="2"/>
  <c r="E63" i="2"/>
  <c r="E79" i="2"/>
  <c r="AM59" i="2"/>
  <c r="E67" i="2"/>
  <c r="E59" i="2"/>
  <c r="E75" i="2"/>
  <c r="AM83" i="2"/>
  <c r="AA107" i="3"/>
  <c r="Q107" i="3" s="1"/>
  <c r="AC107" i="3"/>
  <c r="AD107" i="3" s="1"/>
  <c r="AI78" i="1"/>
  <c r="AI90" i="1"/>
  <c r="AI86" i="1"/>
  <c r="T86" i="1"/>
  <c r="AI66" i="1"/>
  <c r="AI82" i="1"/>
  <c r="AI70" i="1"/>
  <c r="T70" i="1"/>
  <c r="T94" i="1"/>
  <c r="T90" i="1"/>
  <c r="T82" i="1"/>
  <c r="AI94" i="1"/>
  <c r="T98" i="1"/>
  <c r="AI98" i="1"/>
  <c r="T78" i="1"/>
  <c r="T58" i="1"/>
  <c r="AI58" i="1"/>
  <c r="X135" i="6"/>
  <c r="R135" i="6" s="1"/>
  <c r="R139" i="6"/>
  <c r="X67" i="6"/>
  <c r="R67" i="6" s="1"/>
  <c r="E156" i="25" l="1"/>
  <c r="S156" i="25"/>
  <c r="T156" i="25" s="1"/>
  <c r="AJ156" i="25"/>
  <c r="Q151" i="25"/>
  <c r="P165" i="25"/>
  <c r="D327" i="11" s="1"/>
  <c r="S151" i="25"/>
  <c r="R165" i="25"/>
  <c r="AU162" i="25" a="1"/>
  <c r="AU162" i="25" s="1"/>
  <c r="P23" i="25"/>
  <c r="Q23" i="25" s="1"/>
  <c r="R23" i="25"/>
  <c r="S23" i="25" s="1"/>
  <c r="T23" i="25" s="1"/>
  <c r="R18" i="25"/>
  <c r="AJ18" i="25" s="1"/>
  <c r="P18" i="25"/>
  <c r="Q18" i="25" s="1"/>
  <c r="Z63" i="2"/>
  <c r="Z127" i="2"/>
  <c r="Z95" i="2"/>
  <c r="Z79" i="2"/>
  <c r="Z111" i="2"/>
  <c r="X87" i="4"/>
  <c r="T151" i="25" l="1"/>
  <c r="T165" i="25" s="1"/>
  <c r="S165" i="25"/>
  <c r="E151" i="25"/>
  <c r="Q165" i="25"/>
  <c r="R32" i="25"/>
  <c r="E23" i="25"/>
  <c r="P32" i="25"/>
  <c r="D320" i="11" s="1"/>
  <c r="Q32" i="25"/>
  <c r="E18" i="25"/>
  <c r="AJ23" i="25"/>
  <c r="S18" i="25"/>
  <c r="AV55" i="2"/>
  <c r="AV54" i="2"/>
  <c r="AV51" i="2"/>
  <c r="AV50" i="2"/>
  <c r="AV47" i="2"/>
  <c r="AV46" i="2"/>
  <c r="AV43" i="2"/>
  <c r="AV42" i="2"/>
  <c r="AV39" i="2"/>
  <c r="AV38" i="2"/>
  <c r="AV35" i="2"/>
  <c r="AV34" i="2"/>
  <c r="AV31" i="2"/>
  <c r="AV30" i="2"/>
  <c r="AE27" i="2"/>
  <c r="AW27" i="2" s="1"/>
  <c r="AW146" i="2" s="1"/>
  <c r="AV27" i="2"/>
  <c r="AV26" i="2"/>
  <c r="AN55" i="3"/>
  <c r="AN54" i="3"/>
  <c r="AN51" i="3"/>
  <c r="AN50" i="3"/>
  <c r="AN47" i="3"/>
  <c r="AN46" i="3"/>
  <c r="AN43" i="3"/>
  <c r="AN42" i="3"/>
  <c r="AN39" i="3"/>
  <c r="AN38" i="3"/>
  <c r="AN35" i="3"/>
  <c r="AN34" i="3"/>
  <c r="AN31" i="3"/>
  <c r="AN30" i="3"/>
  <c r="AN27" i="3"/>
  <c r="AN26" i="3"/>
  <c r="AN23" i="3"/>
  <c r="AN22" i="3"/>
  <c r="AV54" i="1"/>
  <c r="AV53" i="1"/>
  <c r="AV50" i="1"/>
  <c r="AV49" i="1"/>
  <c r="AV46" i="1"/>
  <c r="AV45" i="1"/>
  <c r="AV42" i="1"/>
  <c r="AV41" i="1"/>
  <c r="AV38" i="1"/>
  <c r="AV37" i="1"/>
  <c r="AV34" i="1"/>
  <c r="AV33" i="1"/>
  <c r="AV30" i="1"/>
  <c r="AV29" i="1"/>
  <c r="AV26" i="1"/>
  <c r="AV25" i="1"/>
  <c r="AA54" i="1"/>
  <c r="AW53" i="1" s="1"/>
  <c r="AA50" i="1"/>
  <c r="AW50" i="1" s="1"/>
  <c r="AA46" i="1"/>
  <c r="AW46" i="1" s="1"/>
  <c r="AA42" i="1"/>
  <c r="AW42" i="1" s="1"/>
  <c r="AA38" i="1"/>
  <c r="AW38" i="1" s="1"/>
  <c r="AA34" i="1"/>
  <c r="AW34" i="1" s="1"/>
  <c r="AA30" i="1"/>
  <c r="AW30" i="1" s="1"/>
  <c r="AA26" i="1"/>
  <c r="AW26" i="1" s="1"/>
  <c r="AA22" i="1"/>
  <c r="AW21" i="1" s="1"/>
  <c r="AV22" i="1"/>
  <c r="AV21" i="1"/>
  <c r="S32" i="25" l="1"/>
  <c r="T32" i="25"/>
  <c r="AW45" i="1"/>
  <c r="AW29" i="1"/>
  <c r="AW37" i="1"/>
  <c r="AW54" i="1"/>
  <c r="AW25" i="1"/>
  <c r="AV141" i="1" s="1"/>
  <c r="AW33" i="1"/>
  <c r="AW41" i="1"/>
  <c r="AW49" i="1"/>
  <c r="AW26" i="2"/>
  <c r="AW22" i="1"/>
  <c r="AW141" i="1" s="1"/>
  <c r="AT54" i="6"/>
  <c r="AT55" i="6"/>
  <c r="AT51" i="6"/>
  <c r="AT50" i="6"/>
  <c r="AT47" i="6"/>
  <c r="AT46" i="6"/>
  <c r="AT43" i="6"/>
  <c r="AT42" i="6"/>
  <c r="AT39" i="6"/>
  <c r="AT38" i="6"/>
  <c r="AT35" i="6"/>
  <c r="AT34" i="6"/>
  <c r="AT31" i="6"/>
  <c r="AT30" i="6"/>
  <c r="AT27" i="6"/>
  <c r="AT26" i="6"/>
  <c r="P10" i="15" l="1"/>
  <c r="P11" i="15"/>
  <c r="AT23" i="6"/>
  <c r="AT22" i="6"/>
  <c r="B22" i="6"/>
  <c r="V12" i="15" l="1"/>
  <c r="Y1" i="5"/>
  <c r="T12" i="15" s="1"/>
  <c r="U12" i="15"/>
  <c r="W2" i="15"/>
  <c r="V2" i="15"/>
  <c r="U2" i="15"/>
  <c r="T2" i="15"/>
  <c r="S2" i="15"/>
  <c r="R2" i="15"/>
  <c r="Q2" i="15"/>
  <c r="P2" i="15"/>
  <c r="O2" i="15"/>
  <c r="D42" i="4"/>
  <c r="C42" i="4"/>
  <c r="BE43" i="4" s="1"/>
  <c r="B42" i="4"/>
  <c r="I41" i="4"/>
  <c r="H41" i="4"/>
  <c r="F41" i="4"/>
  <c r="C41" i="4"/>
  <c r="G41" i="4" s="1"/>
  <c r="BB54" i="20"/>
  <c r="AI54" i="20"/>
  <c r="AF54" i="20"/>
  <c r="BD54" i="20" s="1"/>
  <c r="AE54" i="20"/>
  <c r="AD54" i="20"/>
  <c r="AC54" i="20"/>
  <c r="Y54" i="20"/>
  <c r="Z54" i="20" s="1"/>
  <c r="W54" i="20"/>
  <c r="X54" i="20" s="1"/>
  <c r="D297" i="11" s="1"/>
  <c r="AW53" i="20"/>
  <c r="AU53" i="20"/>
  <c r="AS53" i="20"/>
  <c r="V53" i="20"/>
  <c r="BK52" i="20"/>
  <c r="BJ52" i="20"/>
  <c r="BI52" i="20"/>
  <c r="BH52" i="20"/>
  <c r="AY52" i="20"/>
  <c r="AW52" i="20"/>
  <c r="AU52" i="20"/>
  <c r="AS52" i="20"/>
  <c r="BB50" i="20"/>
  <c r="AI50" i="20"/>
  <c r="AF50" i="20"/>
  <c r="BD50" i="20" s="1"/>
  <c r="AE50" i="20"/>
  <c r="AD50" i="20"/>
  <c r="AC50" i="20"/>
  <c r="Y50" i="20"/>
  <c r="Z50" i="20" s="1"/>
  <c r="W50" i="20"/>
  <c r="X50" i="20" s="1"/>
  <c r="D296" i="11" s="1"/>
  <c r="AW49" i="20"/>
  <c r="AU49" i="20"/>
  <c r="AS49" i="20"/>
  <c r="V49" i="20"/>
  <c r="BK48" i="20"/>
  <c r="BJ48" i="20"/>
  <c r="BI48" i="20"/>
  <c r="BH48" i="20"/>
  <c r="AY48" i="20"/>
  <c r="AW48" i="20"/>
  <c r="AU48" i="20"/>
  <c r="AS48" i="20"/>
  <c r="BB46" i="20"/>
  <c r="AI46" i="20"/>
  <c r="AF46" i="20"/>
  <c r="BD46" i="20" s="1"/>
  <c r="AE46" i="20"/>
  <c r="AD46" i="20"/>
  <c r="AC46" i="20"/>
  <c r="Y46" i="20"/>
  <c r="Z46" i="20" s="1"/>
  <c r="W46" i="20"/>
  <c r="X46" i="20" s="1"/>
  <c r="D295" i="11" s="1"/>
  <c r="AW45" i="20"/>
  <c r="AU45" i="20"/>
  <c r="AS45" i="20"/>
  <c r="V45" i="20"/>
  <c r="BK44" i="20"/>
  <c r="BJ44" i="20"/>
  <c r="BI44" i="20"/>
  <c r="BH44" i="20"/>
  <c r="AY44" i="20"/>
  <c r="AW44" i="20"/>
  <c r="AU44" i="20"/>
  <c r="AS44" i="20"/>
  <c r="BB42" i="20"/>
  <c r="AI42" i="20"/>
  <c r="AF42" i="20"/>
  <c r="BD42" i="20" s="1"/>
  <c r="AE42" i="20"/>
  <c r="AD42" i="20"/>
  <c r="AC42" i="20"/>
  <c r="Y42" i="20"/>
  <c r="Z42" i="20" s="1"/>
  <c r="W42" i="20"/>
  <c r="X42" i="20" s="1"/>
  <c r="D294" i="11" s="1"/>
  <c r="AW41" i="20"/>
  <c r="AU41" i="20"/>
  <c r="AS41" i="20"/>
  <c r="V41" i="20"/>
  <c r="BK40" i="20"/>
  <c r="BJ40" i="20"/>
  <c r="BI40" i="20"/>
  <c r="BH40" i="20"/>
  <c r="AY40" i="20"/>
  <c r="AW40" i="20"/>
  <c r="AU40" i="20"/>
  <c r="AS40" i="20"/>
  <c r="BB38" i="20"/>
  <c r="AI38" i="20"/>
  <c r="AF38" i="20"/>
  <c r="BD38" i="20" s="1"/>
  <c r="AE38" i="20"/>
  <c r="AD38" i="20"/>
  <c r="AC38" i="20"/>
  <c r="Y38" i="20"/>
  <c r="Z38" i="20" s="1"/>
  <c r="W38" i="20"/>
  <c r="X38" i="20" s="1"/>
  <c r="D293" i="11" s="1"/>
  <c r="AW37" i="20"/>
  <c r="AU37" i="20"/>
  <c r="AS37" i="20"/>
  <c r="V37" i="20"/>
  <c r="BK36" i="20"/>
  <c r="BJ36" i="20"/>
  <c r="BI36" i="20"/>
  <c r="BH36" i="20"/>
  <c r="AY36" i="20"/>
  <c r="AW36" i="20"/>
  <c r="AU36" i="20"/>
  <c r="AS36" i="20"/>
  <c r="BB34" i="20"/>
  <c r="AI34" i="20"/>
  <c r="AF34" i="20"/>
  <c r="BD34" i="20" s="1"/>
  <c r="AE34" i="20"/>
  <c r="AD34" i="20"/>
  <c r="AC34" i="20"/>
  <c r="Y34" i="20"/>
  <c r="Z34" i="20" s="1"/>
  <c r="W34" i="20"/>
  <c r="X34" i="20" s="1"/>
  <c r="D292" i="11" s="1"/>
  <c r="AW33" i="20"/>
  <c r="AU33" i="20"/>
  <c r="AS33" i="20"/>
  <c r="V33" i="20"/>
  <c r="BK32" i="20"/>
  <c r="BJ32" i="20"/>
  <c r="BI32" i="20"/>
  <c r="BH32" i="20"/>
  <c r="AY32" i="20"/>
  <c r="AW32" i="20"/>
  <c r="AU32" i="20"/>
  <c r="AS32" i="20"/>
  <c r="BB30" i="20"/>
  <c r="AI30" i="20"/>
  <c r="AF30" i="20"/>
  <c r="BD30" i="20" s="1"/>
  <c r="AE30" i="20"/>
  <c r="AD30" i="20"/>
  <c r="AC30" i="20"/>
  <c r="Y30" i="20"/>
  <c r="Z30" i="20" s="1"/>
  <c r="W30" i="20"/>
  <c r="X30" i="20" s="1"/>
  <c r="D291" i="11" s="1"/>
  <c r="AW29" i="20"/>
  <c r="AU29" i="20"/>
  <c r="AS29" i="20"/>
  <c r="V29" i="20"/>
  <c r="BK28" i="20"/>
  <c r="BJ28" i="20"/>
  <c r="BI28" i="20"/>
  <c r="BH28" i="20"/>
  <c r="AY28" i="20"/>
  <c r="AW28" i="20"/>
  <c r="AU28" i="20"/>
  <c r="AS28" i="20"/>
  <c r="BB26" i="20"/>
  <c r="AI26" i="20"/>
  <c r="AF26" i="20"/>
  <c r="BD26" i="20" s="1"/>
  <c r="AE26" i="20"/>
  <c r="AD26" i="20"/>
  <c r="AC26" i="20"/>
  <c r="Y26" i="20"/>
  <c r="Z26" i="20" s="1"/>
  <c r="W26" i="20"/>
  <c r="X26" i="20" s="1"/>
  <c r="D290" i="11" s="1"/>
  <c r="AW25" i="20"/>
  <c r="AU25" i="20"/>
  <c r="AS25" i="20"/>
  <c r="V25" i="20"/>
  <c r="BK24" i="20"/>
  <c r="BJ24" i="20"/>
  <c r="BI24" i="20"/>
  <c r="BH24" i="20"/>
  <c r="AY24" i="20"/>
  <c r="AW24" i="20"/>
  <c r="AU24" i="20"/>
  <c r="AS24" i="20"/>
  <c r="K53" i="20"/>
  <c r="D53" i="20"/>
  <c r="BG54" i="20" s="1"/>
  <c r="B53" i="20"/>
  <c r="BF54" i="20" s="1"/>
  <c r="G52" i="20"/>
  <c r="F52" i="20"/>
  <c r="AK54" i="20" s="1"/>
  <c r="E52" i="20"/>
  <c r="I52" i="20" s="1"/>
  <c r="K49" i="20"/>
  <c r="D49" i="20"/>
  <c r="BG50" i="20" s="1"/>
  <c r="B49" i="20"/>
  <c r="BF50" i="20" s="1"/>
  <c r="G48" i="20"/>
  <c r="F48" i="20"/>
  <c r="AK50" i="20" s="1"/>
  <c r="E48" i="20"/>
  <c r="AH50" i="20" s="1"/>
  <c r="AM50" i="20" s="1"/>
  <c r="K45" i="20"/>
  <c r="D45" i="20"/>
  <c r="BG46" i="20" s="1"/>
  <c r="B45" i="20"/>
  <c r="BF46" i="20" s="1"/>
  <c r="G44" i="20"/>
  <c r="F44" i="20"/>
  <c r="AK46" i="20" s="1"/>
  <c r="E44" i="20"/>
  <c r="AH46" i="20" s="1"/>
  <c r="AM46" i="20" s="1"/>
  <c r="K41" i="20"/>
  <c r="D41" i="20"/>
  <c r="BG42" i="20" s="1"/>
  <c r="B41" i="20"/>
  <c r="BF42" i="20" s="1"/>
  <c r="G40" i="20"/>
  <c r="F40" i="20"/>
  <c r="AK42" i="20" s="1"/>
  <c r="E40" i="20"/>
  <c r="AH42" i="20" s="1"/>
  <c r="AM42" i="20" s="1"/>
  <c r="K37" i="20"/>
  <c r="D37" i="20"/>
  <c r="B37" i="20"/>
  <c r="BF38" i="20" s="1"/>
  <c r="G36" i="20"/>
  <c r="F36" i="20"/>
  <c r="AK38" i="20" s="1"/>
  <c r="E36" i="20"/>
  <c r="AH38" i="20" s="1"/>
  <c r="AM38" i="20" s="1"/>
  <c r="K33" i="20"/>
  <c r="D33" i="20"/>
  <c r="BG34" i="20" s="1"/>
  <c r="B33" i="20"/>
  <c r="BF34" i="20" s="1"/>
  <c r="G32" i="20"/>
  <c r="F32" i="20"/>
  <c r="AK34" i="20" s="1"/>
  <c r="E32" i="20"/>
  <c r="I32" i="20" s="1"/>
  <c r="K29" i="20"/>
  <c r="D29" i="20"/>
  <c r="BG30" i="20" s="1"/>
  <c r="B29" i="20"/>
  <c r="BF30" i="20" s="1"/>
  <c r="G28" i="20"/>
  <c r="F28" i="20"/>
  <c r="AK30" i="20" s="1"/>
  <c r="E28" i="20"/>
  <c r="I28" i="20" s="1"/>
  <c r="K25" i="20"/>
  <c r="D25" i="20"/>
  <c r="BG26" i="20" s="1"/>
  <c r="B25" i="20"/>
  <c r="BF26" i="20" s="1"/>
  <c r="G24" i="20"/>
  <c r="F24" i="20"/>
  <c r="AK26" i="20" s="1"/>
  <c r="E24" i="20"/>
  <c r="AH26" i="20" s="1"/>
  <c r="AM26" i="20" s="1"/>
  <c r="V2" i="20"/>
  <c r="B21" i="20"/>
  <c r="AI22" i="20"/>
  <c r="AF22" i="20"/>
  <c r="BD22" i="20" s="1"/>
  <c r="D20" i="7"/>
  <c r="AE22" i="20"/>
  <c r="AD22" i="20"/>
  <c r="AC22" i="20"/>
  <c r="AW21" i="20"/>
  <c r="AU21" i="20"/>
  <c r="AS21" i="20"/>
  <c r="V21" i="20"/>
  <c r="BK20" i="20"/>
  <c r="BJ20" i="20"/>
  <c r="BI20" i="20"/>
  <c r="BH20" i="20"/>
  <c r="AY20" i="20"/>
  <c r="AW20" i="20"/>
  <c r="AU20" i="20"/>
  <c r="AS20" i="20"/>
  <c r="V3" i="20"/>
  <c r="BJ53" i="4"/>
  <c r="BG53" i="4"/>
  <c r="BJ49" i="4"/>
  <c r="BG49" i="4"/>
  <c r="BJ45" i="4"/>
  <c r="BG45" i="4"/>
  <c r="BF43" i="4"/>
  <c r="BD43" i="4"/>
  <c r="BJ41" i="4"/>
  <c r="BG41" i="4"/>
  <c r="BJ37" i="4"/>
  <c r="BG37" i="4"/>
  <c r="BJ33" i="4"/>
  <c r="BG33" i="4"/>
  <c r="BJ29" i="4"/>
  <c r="BG29" i="4"/>
  <c r="BJ25" i="4"/>
  <c r="BG25" i="4"/>
  <c r="V1" i="20" l="1"/>
  <c r="K4" i="20"/>
  <c r="BD139" i="20"/>
  <c r="A288" i="11"/>
  <c r="BJ54" i="20"/>
  <c r="BL43" i="4"/>
  <c r="BK54" i="20"/>
  <c r="I44" i="20"/>
  <c r="J44" i="20" s="1"/>
  <c r="AG50" i="20"/>
  <c r="BH38" i="20"/>
  <c r="AG54" i="20"/>
  <c r="BJ30" i="20"/>
  <c r="BJ50" i="20"/>
  <c r="BK50" i="20"/>
  <c r="I24" i="20"/>
  <c r="J24" i="20" s="1"/>
  <c r="AH30" i="20"/>
  <c r="AM30" i="20" s="1"/>
  <c r="AN30" i="20" s="1"/>
  <c r="AA30" i="20" s="1"/>
  <c r="AH54" i="20"/>
  <c r="AM54" i="20" s="1"/>
  <c r="AN54" i="20" s="1"/>
  <c r="AA54" i="20" s="1"/>
  <c r="BJ26" i="20"/>
  <c r="BJ46" i="20"/>
  <c r="BK26" i="20"/>
  <c r="BK46" i="20"/>
  <c r="I36" i="20"/>
  <c r="J36" i="20" s="1"/>
  <c r="F37" i="20" s="1"/>
  <c r="B293" i="11" s="1"/>
  <c r="AG46" i="20"/>
  <c r="AV38" i="20"/>
  <c r="J32" i="20"/>
  <c r="AL34" i="20" s="1"/>
  <c r="AJ34" i="20" s="1"/>
  <c r="J28" i="20"/>
  <c r="F29" i="20" s="1"/>
  <c r="B291" i="11" s="1"/>
  <c r="AG30" i="20"/>
  <c r="BJ42" i="20"/>
  <c r="AV26" i="20"/>
  <c r="AS26" i="20"/>
  <c r="AH34" i="20"/>
  <c r="AM34" i="20" s="1"/>
  <c r="AV50" i="20"/>
  <c r="AG34" i="20"/>
  <c r="AG26" i="20"/>
  <c r="AG38" i="20"/>
  <c r="AG42" i="20"/>
  <c r="AX50" i="20"/>
  <c r="I40" i="20"/>
  <c r="AS30" i="20"/>
  <c r="BG38" i="20"/>
  <c r="BK38" i="20" s="1"/>
  <c r="AX38" i="20"/>
  <c r="AZ50" i="20"/>
  <c r="AZ30" i="20"/>
  <c r="AX42" i="20"/>
  <c r="AU34" i="20"/>
  <c r="AX34" i="20"/>
  <c r="BK42" i="20"/>
  <c r="AZ34" i="20"/>
  <c r="BI30" i="20"/>
  <c r="BK30" i="20"/>
  <c r="AQ30" i="20"/>
  <c r="AU38" i="20"/>
  <c r="AZ26" i="20"/>
  <c r="AZ38" i="20"/>
  <c r="AS42" i="20"/>
  <c r="AT50" i="20"/>
  <c r="AX46" i="20"/>
  <c r="AX26" i="20"/>
  <c r="AZ46" i="20"/>
  <c r="BJ43" i="4"/>
  <c r="BK43" i="4"/>
  <c r="F45" i="20"/>
  <c r="B295" i="11" s="1"/>
  <c r="AT34" i="20"/>
  <c r="AU42" i="20"/>
  <c r="AT42" i="20"/>
  <c r="AU54" i="20"/>
  <c r="AT54" i="20"/>
  <c r="BJ38" i="20"/>
  <c r="AU30" i="20"/>
  <c r="AT30" i="20"/>
  <c r="BK34" i="20"/>
  <c r="AS46" i="20"/>
  <c r="AX54" i="20"/>
  <c r="AS54" i="20"/>
  <c r="BJ34" i="20"/>
  <c r="AZ42" i="20"/>
  <c r="AT26" i="20"/>
  <c r="AX30" i="20"/>
  <c r="AS38" i="20"/>
  <c r="AU46" i="20"/>
  <c r="AT46" i="20"/>
  <c r="AZ54" i="20"/>
  <c r="E42" i="4"/>
  <c r="B139" i="11" s="1"/>
  <c r="AQ54" i="20"/>
  <c r="E54" i="20"/>
  <c r="AV54" i="20"/>
  <c r="AW54" i="20"/>
  <c r="BH54" i="20"/>
  <c r="BI54" i="20"/>
  <c r="AY54" i="20"/>
  <c r="AN50" i="20"/>
  <c r="AA50" i="20" s="1"/>
  <c r="AQ50" i="20"/>
  <c r="E50" i="20"/>
  <c r="AS50" i="20"/>
  <c r="AU50" i="20"/>
  <c r="AW50" i="20"/>
  <c r="BH50" i="20"/>
  <c r="BI50" i="20"/>
  <c r="AY50" i="20"/>
  <c r="AQ46" i="20"/>
  <c r="E46" i="20"/>
  <c r="AN46" i="20"/>
  <c r="AA46" i="20" s="1"/>
  <c r="AV46" i="20"/>
  <c r="AW46" i="20"/>
  <c r="BH46" i="20"/>
  <c r="BI46" i="20"/>
  <c r="AY46" i="20"/>
  <c r="AQ42" i="20"/>
  <c r="E42" i="20"/>
  <c r="AN42" i="20"/>
  <c r="AA42" i="20" s="1"/>
  <c r="AV42" i="20"/>
  <c r="AW42" i="20"/>
  <c r="BH42" i="20"/>
  <c r="BI42" i="20"/>
  <c r="AY42" i="20"/>
  <c r="E38" i="20"/>
  <c r="AQ38" i="20"/>
  <c r="AN38" i="20"/>
  <c r="AA38" i="20" s="1"/>
  <c r="AT38" i="20"/>
  <c r="AW38" i="20"/>
  <c r="AY38" i="20"/>
  <c r="E34" i="20"/>
  <c r="AQ34" i="20"/>
  <c r="AV34" i="20"/>
  <c r="AW34" i="20"/>
  <c r="BH34" i="20"/>
  <c r="BI34" i="20"/>
  <c r="AY34" i="20"/>
  <c r="AS34" i="20"/>
  <c r="E30" i="20"/>
  <c r="AV30" i="20"/>
  <c r="AW30" i="20"/>
  <c r="BH30" i="20"/>
  <c r="AY30" i="20"/>
  <c r="E26" i="20"/>
  <c r="AQ26" i="20"/>
  <c r="AU26" i="20"/>
  <c r="AW26" i="20"/>
  <c r="BH26" i="20"/>
  <c r="AN26" i="20"/>
  <c r="AA26" i="20" s="1"/>
  <c r="BI26" i="20"/>
  <c r="AY26" i="20"/>
  <c r="J52" i="20"/>
  <c r="F53" i="20" s="1"/>
  <c r="B297" i="11" s="1"/>
  <c r="I48" i="20"/>
  <c r="J48" i="20" s="1"/>
  <c r="F21" i="20"/>
  <c r="B289" i="11" s="1"/>
  <c r="D21" i="20"/>
  <c r="AV22" i="20" s="1"/>
  <c r="K21" i="20"/>
  <c r="AH22" i="20"/>
  <c r="AM22" i="20" s="1"/>
  <c r="AG22" i="20"/>
  <c r="AY22" i="20"/>
  <c r="BF22" i="20"/>
  <c r="BJ22" i="20" s="1"/>
  <c r="AS22" i="20"/>
  <c r="AW22" i="20"/>
  <c r="BG43" i="4"/>
  <c r="BH43" i="4"/>
  <c r="BI43" i="4"/>
  <c r="AS54" i="4"/>
  <c r="AP54" i="4"/>
  <c r="AM54" i="4"/>
  <c r="AV53" i="4"/>
  <c r="AS53" i="4"/>
  <c r="AP53" i="4"/>
  <c r="AM53" i="4"/>
  <c r="AS50" i="4"/>
  <c r="AP50" i="4"/>
  <c r="AM50" i="4"/>
  <c r="AV49" i="4"/>
  <c r="AS49" i="4"/>
  <c r="AP49" i="4"/>
  <c r="AM49" i="4"/>
  <c r="AS46" i="4"/>
  <c r="AP46" i="4"/>
  <c r="AM46" i="4"/>
  <c r="AV45" i="4"/>
  <c r="AS45" i="4"/>
  <c r="AP45" i="4"/>
  <c r="AM45" i="4"/>
  <c r="AS42" i="4"/>
  <c r="AP42" i="4"/>
  <c r="AM42" i="4"/>
  <c r="AV41" i="4"/>
  <c r="AS41" i="4"/>
  <c r="AP41" i="4"/>
  <c r="AM41" i="4"/>
  <c r="AS38" i="4"/>
  <c r="AP38" i="4"/>
  <c r="AM38" i="4"/>
  <c r="AV37" i="4"/>
  <c r="AS37" i="4"/>
  <c r="AP37" i="4"/>
  <c r="AM37" i="4"/>
  <c r="AS34" i="4"/>
  <c r="AP34" i="4"/>
  <c r="AM34" i="4"/>
  <c r="AV33" i="4"/>
  <c r="AS33" i="4"/>
  <c r="AP33" i="4"/>
  <c r="AM33" i="4"/>
  <c r="AS30" i="4"/>
  <c r="AP30" i="4"/>
  <c r="AM30" i="4"/>
  <c r="AV29" i="4"/>
  <c r="AS29" i="4"/>
  <c r="AP29" i="4"/>
  <c r="AM29" i="4"/>
  <c r="AS26" i="4"/>
  <c r="AP26" i="4"/>
  <c r="AM26" i="4"/>
  <c r="AV25" i="4"/>
  <c r="AS25" i="4"/>
  <c r="AP25" i="4"/>
  <c r="AM25" i="4"/>
  <c r="D22" i="4"/>
  <c r="BF23" i="4" s="1"/>
  <c r="B22" i="4"/>
  <c r="AS22" i="4"/>
  <c r="AP22" i="4"/>
  <c r="AM22" i="4"/>
  <c r="BJ21" i="4"/>
  <c r="BG21" i="4"/>
  <c r="AV21" i="4"/>
  <c r="AS21" i="4"/>
  <c r="AP21" i="4"/>
  <c r="AM21" i="4"/>
  <c r="AQ51" i="14"/>
  <c r="AP51" i="14"/>
  <c r="AO51" i="14"/>
  <c r="AZ50" i="14"/>
  <c r="AY50" i="14"/>
  <c r="AR50" i="14"/>
  <c r="AQ50" i="14"/>
  <c r="AP50" i="14"/>
  <c r="AO50" i="14"/>
  <c r="AQ47" i="14"/>
  <c r="AP47" i="14"/>
  <c r="AO47" i="14"/>
  <c r="AZ46" i="14"/>
  <c r="AY46" i="14"/>
  <c r="AR46" i="14"/>
  <c r="AQ46" i="14"/>
  <c r="AP46" i="14"/>
  <c r="AO46" i="14"/>
  <c r="AQ43" i="14"/>
  <c r="AP43" i="14"/>
  <c r="AO43" i="14"/>
  <c r="AZ42" i="14"/>
  <c r="AY42" i="14"/>
  <c r="AR42" i="14"/>
  <c r="AQ42" i="14"/>
  <c r="AP42" i="14"/>
  <c r="AO42" i="14"/>
  <c r="AQ39" i="14"/>
  <c r="AP39" i="14"/>
  <c r="AO39" i="14"/>
  <c r="AZ38" i="14"/>
  <c r="AY38" i="14"/>
  <c r="AR38" i="14"/>
  <c r="AQ38" i="14"/>
  <c r="AP38" i="14"/>
  <c r="AO38" i="14"/>
  <c r="AQ35" i="14"/>
  <c r="AP35" i="14"/>
  <c r="AO35" i="14"/>
  <c r="AZ34" i="14"/>
  <c r="AY34" i="14"/>
  <c r="AR34" i="14"/>
  <c r="AQ34" i="14"/>
  <c r="AP34" i="14"/>
  <c r="AO34" i="14"/>
  <c r="AQ31" i="14"/>
  <c r="AP31" i="14"/>
  <c r="AO31" i="14"/>
  <c r="AZ30" i="14"/>
  <c r="AY30" i="14"/>
  <c r="AR30" i="14"/>
  <c r="AQ30" i="14"/>
  <c r="AP30" i="14"/>
  <c r="AO30" i="14"/>
  <c r="AQ27" i="14"/>
  <c r="AP27" i="14"/>
  <c r="AO27" i="14"/>
  <c r="AZ26" i="14"/>
  <c r="AY26" i="14"/>
  <c r="AR26" i="14"/>
  <c r="AQ26" i="14"/>
  <c r="AP26" i="14"/>
  <c r="AO26" i="14"/>
  <c r="AQ23" i="14"/>
  <c r="AP23" i="14"/>
  <c r="AO23" i="14"/>
  <c r="AZ22" i="14"/>
  <c r="AY22" i="14"/>
  <c r="AR22" i="14"/>
  <c r="AQ22" i="14"/>
  <c r="AP22" i="14"/>
  <c r="AO22" i="14"/>
  <c r="AQ51" i="13"/>
  <c r="AP51" i="13"/>
  <c r="AO51" i="13"/>
  <c r="AZ50" i="13"/>
  <c r="AY50" i="13"/>
  <c r="AR50" i="13"/>
  <c r="AQ50" i="13"/>
  <c r="AP50" i="13"/>
  <c r="AO50" i="13"/>
  <c r="AQ47" i="13"/>
  <c r="AP47" i="13"/>
  <c r="AO47" i="13"/>
  <c r="AZ46" i="13"/>
  <c r="AY46" i="13"/>
  <c r="AR46" i="13"/>
  <c r="AQ46" i="13"/>
  <c r="AP46" i="13"/>
  <c r="AO46" i="13"/>
  <c r="AQ43" i="13"/>
  <c r="AP43" i="13"/>
  <c r="AO43" i="13"/>
  <c r="AZ42" i="13"/>
  <c r="AY42" i="13"/>
  <c r="AR42" i="13"/>
  <c r="AQ42" i="13"/>
  <c r="AP42" i="13"/>
  <c r="AO42" i="13"/>
  <c r="AQ39" i="13"/>
  <c r="AP39" i="13"/>
  <c r="AO39" i="13"/>
  <c r="AZ38" i="13"/>
  <c r="AY38" i="13"/>
  <c r="AR38" i="13"/>
  <c r="AQ38" i="13"/>
  <c r="AP38" i="13"/>
  <c r="AO38" i="13"/>
  <c r="AQ35" i="13"/>
  <c r="AP35" i="13"/>
  <c r="AO35" i="13"/>
  <c r="AZ34" i="13"/>
  <c r="AY34" i="13"/>
  <c r="AR34" i="13"/>
  <c r="AQ34" i="13"/>
  <c r="AP34" i="13"/>
  <c r="AO34" i="13"/>
  <c r="AQ31" i="13"/>
  <c r="AP31" i="13"/>
  <c r="AO31" i="13"/>
  <c r="AZ30" i="13"/>
  <c r="AY30" i="13"/>
  <c r="AR30" i="13"/>
  <c r="AQ30" i="13"/>
  <c r="AP30" i="13"/>
  <c r="AO30" i="13"/>
  <c r="AQ27" i="13"/>
  <c r="AP27" i="13"/>
  <c r="AO27" i="13"/>
  <c r="AZ26" i="13"/>
  <c r="AY26" i="13"/>
  <c r="AR26" i="13"/>
  <c r="AQ26" i="13"/>
  <c r="AP26" i="13"/>
  <c r="AO26" i="13"/>
  <c r="AQ23" i="13"/>
  <c r="AP23" i="13"/>
  <c r="AO23" i="13"/>
  <c r="AZ22" i="13"/>
  <c r="AY22" i="13"/>
  <c r="AR22" i="13"/>
  <c r="AQ22" i="13"/>
  <c r="AP22" i="13"/>
  <c r="AO22" i="13"/>
  <c r="AL30" i="20" l="1"/>
  <c r="AJ30" i="20" s="1"/>
  <c r="AN34" i="20"/>
  <c r="AA34" i="20" s="1"/>
  <c r="AL46" i="20"/>
  <c r="AJ46" i="20" s="1"/>
  <c r="F25" i="20"/>
  <c r="B290" i="11" s="1"/>
  <c r="AL26" i="20"/>
  <c r="AJ26" i="20" s="1"/>
  <c r="F33" i="20"/>
  <c r="B292" i="11" s="1"/>
  <c r="BI38" i="20"/>
  <c r="AL54" i="20"/>
  <c r="AJ54" i="20" s="1"/>
  <c r="J40" i="20"/>
  <c r="F41" i="20" s="1"/>
  <c r="B294" i="11" s="1"/>
  <c r="AL38" i="20"/>
  <c r="AJ38" i="20" s="1"/>
  <c r="F49" i="20"/>
  <c r="B296" i="11" s="1"/>
  <c r="AL50" i="20"/>
  <c r="AJ50" i="20" s="1"/>
  <c r="BL23" i="4"/>
  <c r="BI23" i="4"/>
  <c r="W22" i="20"/>
  <c r="X22" i="20" s="1"/>
  <c r="D289" i="11" s="1"/>
  <c r="AU22" i="20"/>
  <c r="AV139" i="20" s="1"/>
  <c r="AZ22" i="20"/>
  <c r="AZ139" i="20" s="1"/>
  <c r="AX22" i="20"/>
  <c r="AX139" i="20" s="1"/>
  <c r="BG22" i="20"/>
  <c r="BK22" i="20" s="1"/>
  <c r="BK139" i="20" s="1"/>
  <c r="AT22" i="20"/>
  <c r="AT139" i="20" s="1"/>
  <c r="AP23" i="20"/>
  <c r="AN22" i="20"/>
  <c r="BH22" i="20"/>
  <c r="AV23" i="4"/>
  <c r="AX23" i="4"/>
  <c r="AU23" i="4"/>
  <c r="AS23" i="4"/>
  <c r="AO54" i="20"/>
  <c r="AB54" i="20" s="1"/>
  <c r="E297" i="11" s="1"/>
  <c r="AO34" i="20" l="1"/>
  <c r="AB34" i="20" s="1"/>
  <c r="E292" i="11" s="1"/>
  <c r="AE66" i="25"/>
  <c r="Y66" i="25" s="1"/>
  <c r="AE47" i="25"/>
  <c r="Y47" i="25" s="1"/>
  <c r="AE104" i="25"/>
  <c r="Y104" i="25" s="1"/>
  <c r="AC94" i="24"/>
  <c r="W94" i="24" s="1"/>
  <c r="S94" i="24" s="1"/>
  <c r="AC50" i="24"/>
  <c r="W50" i="24" s="1"/>
  <c r="S50" i="24" s="1"/>
  <c r="AH156" i="25"/>
  <c r="U156" i="25" s="1"/>
  <c r="AE142" i="25"/>
  <c r="Y142" i="25" s="1"/>
  <c r="AC82" i="24"/>
  <c r="W82" i="24" s="1"/>
  <c r="S82" i="24" s="1"/>
  <c r="AH118" i="25"/>
  <c r="AH99" i="25"/>
  <c r="AE85" i="25"/>
  <c r="Y85" i="25" s="1"/>
  <c r="AE161" i="25"/>
  <c r="Y161" i="25" s="1"/>
  <c r="AH132" i="25"/>
  <c r="AH56" i="25"/>
  <c r="AH61" i="25"/>
  <c r="AH37" i="25"/>
  <c r="AE123" i="25"/>
  <c r="Y123" i="25" s="1"/>
  <c r="AC58" i="24"/>
  <c r="W58" i="24" s="1"/>
  <c r="S58" i="24" s="1"/>
  <c r="AC70" i="24"/>
  <c r="W70" i="24" s="1"/>
  <c r="S70" i="24" s="1"/>
  <c r="AC26" i="24"/>
  <c r="W26" i="24" s="1"/>
  <c r="S26" i="24" s="1"/>
  <c r="AC130" i="24"/>
  <c r="W130" i="24" s="1"/>
  <c r="S130" i="24" s="1"/>
  <c r="AC134" i="24"/>
  <c r="W134" i="24" s="1"/>
  <c r="S134" i="24" s="1"/>
  <c r="AC102" i="24"/>
  <c r="W102" i="24" s="1"/>
  <c r="S102" i="24" s="1"/>
  <c r="AC78" i="24"/>
  <c r="W78" i="24" s="1"/>
  <c r="S78" i="24" s="1"/>
  <c r="AH94" i="25"/>
  <c r="AC98" i="24"/>
  <c r="W98" i="24" s="1"/>
  <c r="S98" i="24" s="1"/>
  <c r="AC122" i="24"/>
  <c r="W122" i="24" s="1"/>
  <c r="S122" i="24" s="1"/>
  <c r="AC114" i="24"/>
  <c r="W114" i="24" s="1"/>
  <c r="S114" i="24" s="1"/>
  <c r="AC46" i="24"/>
  <c r="W46" i="24" s="1"/>
  <c r="S46" i="24" s="1"/>
  <c r="AC90" i="24"/>
  <c r="W90" i="24" s="1"/>
  <c r="S90" i="24" s="1"/>
  <c r="AH42" i="25"/>
  <c r="AC62" i="24"/>
  <c r="W62" i="24" s="1"/>
  <c r="S62" i="24" s="1"/>
  <c r="AC34" i="24"/>
  <c r="W34" i="24" s="1"/>
  <c r="S34" i="24" s="1"/>
  <c r="AC74" i="24"/>
  <c r="W74" i="24" s="1"/>
  <c r="S74" i="24" s="1"/>
  <c r="AC106" i="24"/>
  <c r="W106" i="24" s="1"/>
  <c r="S106" i="24" s="1"/>
  <c r="AC118" i="24"/>
  <c r="W118" i="24" s="1"/>
  <c r="S118" i="24" s="1"/>
  <c r="AC54" i="24"/>
  <c r="W54" i="24" s="1"/>
  <c r="S54" i="24" s="1"/>
  <c r="AC30" i="24"/>
  <c r="W30" i="24" s="1"/>
  <c r="S30" i="24" s="1"/>
  <c r="AC66" i="24"/>
  <c r="W66" i="24" s="1"/>
  <c r="S66" i="24" s="1"/>
  <c r="AH151" i="25"/>
  <c r="U151" i="25" s="1"/>
  <c r="AC86" i="24"/>
  <c r="W86" i="24" s="1"/>
  <c r="S86" i="24" s="1"/>
  <c r="AC138" i="24"/>
  <c r="W138" i="24" s="1"/>
  <c r="S138" i="24" s="1"/>
  <c r="AC38" i="24"/>
  <c r="W38" i="24" s="1"/>
  <c r="S38" i="24" s="1"/>
  <c r="AC110" i="24"/>
  <c r="W110" i="24" s="1"/>
  <c r="S110" i="24" s="1"/>
  <c r="AC126" i="24"/>
  <c r="W126" i="24" s="1"/>
  <c r="S126" i="24" s="1"/>
  <c r="AH80" i="25"/>
  <c r="AH75" i="25"/>
  <c r="AC42" i="24"/>
  <c r="W42" i="24" s="1"/>
  <c r="S42" i="24" s="1"/>
  <c r="AH137" i="25"/>
  <c r="AH113" i="25"/>
  <c r="AO126" i="20"/>
  <c r="AB126" i="20" s="1"/>
  <c r="E315" i="11" s="1"/>
  <c r="AJ100" i="14"/>
  <c r="Z100" i="14" s="1"/>
  <c r="E246" i="11" s="1"/>
  <c r="AJ108" i="14"/>
  <c r="Z108" i="14" s="1"/>
  <c r="E248" i="11" s="1"/>
  <c r="AJ88" i="14"/>
  <c r="Z88" i="14" s="1"/>
  <c r="E243" i="11" s="1"/>
  <c r="AJ56" i="14"/>
  <c r="Z56" i="14" s="1"/>
  <c r="E235" i="11" s="1"/>
  <c r="AJ120" i="5"/>
  <c r="Z120" i="5" s="1"/>
  <c r="E189" i="11" s="1"/>
  <c r="AK139" i="2"/>
  <c r="AA139" i="2" s="1"/>
  <c r="E131" i="11" s="1"/>
  <c r="AK135" i="2"/>
  <c r="AA135" i="2" s="1"/>
  <c r="E130" i="11" s="1"/>
  <c r="AK67" i="2"/>
  <c r="AA67" i="2" s="1"/>
  <c r="E113" i="11" s="1"/>
  <c r="AB127" i="3"/>
  <c r="R127" i="3" s="1"/>
  <c r="E98" i="11" s="1"/>
  <c r="AG114" i="1"/>
  <c r="U114" i="1" s="1"/>
  <c r="E64" i="11" s="1"/>
  <c r="AO110" i="20"/>
  <c r="AB110" i="20" s="1"/>
  <c r="E311" i="11" s="1"/>
  <c r="AJ80" i="13"/>
  <c r="Z80" i="13" s="1"/>
  <c r="E210" i="11" s="1"/>
  <c r="AJ56" i="13"/>
  <c r="Z56" i="13" s="1"/>
  <c r="E204" i="11" s="1"/>
  <c r="AJ140" i="5"/>
  <c r="Z140" i="5" s="1"/>
  <c r="E194" i="11" s="1"/>
  <c r="AI83" i="4"/>
  <c r="Y83" i="4" s="1"/>
  <c r="E149" i="11" s="1"/>
  <c r="AK143" i="2"/>
  <c r="AA143" i="2" s="1"/>
  <c r="E132" i="11" s="1"/>
  <c r="AK127" i="2"/>
  <c r="AA127" i="2" s="1"/>
  <c r="E128" i="11" s="1"/>
  <c r="AK119" i="2"/>
  <c r="AA119" i="2" s="1"/>
  <c r="E126" i="11" s="1"/>
  <c r="AC75" i="6"/>
  <c r="W75" i="6" s="1"/>
  <c r="S75" i="6" s="1"/>
  <c r="E23" i="11" s="1"/>
  <c r="AO94" i="20"/>
  <c r="AB94" i="20" s="1"/>
  <c r="E307" i="11" s="1"/>
  <c r="AO118" i="20"/>
  <c r="AB118" i="20" s="1"/>
  <c r="E313" i="11" s="1"/>
  <c r="AJ68" i="14"/>
  <c r="Z68" i="14" s="1"/>
  <c r="E238" i="11" s="1"/>
  <c r="AJ140" i="13"/>
  <c r="Z140" i="13" s="1"/>
  <c r="E225" i="11" s="1"/>
  <c r="AJ124" i="13"/>
  <c r="Z124" i="13" s="1"/>
  <c r="E221" i="11" s="1"/>
  <c r="AJ128" i="5"/>
  <c r="Z128" i="5" s="1"/>
  <c r="E191" i="11" s="1"/>
  <c r="AJ64" i="5"/>
  <c r="Z64" i="5" s="1"/>
  <c r="E175" i="11" s="1"/>
  <c r="AI103" i="4"/>
  <c r="Y103" i="4" s="1"/>
  <c r="E154" i="11" s="1"/>
  <c r="AI119" i="4"/>
  <c r="Y119" i="4" s="1"/>
  <c r="E158" i="11" s="1"/>
  <c r="AI59" i="4"/>
  <c r="Y59" i="4" s="1"/>
  <c r="E143" i="11" s="1"/>
  <c r="AB103" i="3"/>
  <c r="R103" i="3" s="1"/>
  <c r="E92" i="11" s="1"/>
  <c r="AG122" i="1"/>
  <c r="U122" i="1" s="1"/>
  <c r="E66" i="11" s="1"/>
  <c r="AO98" i="20"/>
  <c r="AB98" i="20" s="1"/>
  <c r="E308" i="11" s="1"/>
  <c r="AJ104" i="14"/>
  <c r="Z104" i="14" s="1"/>
  <c r="E247" i="11" s="1"/>
  <c r="AJ92" i="14"/>
  <c r="Z92" i="14" s="1"/>
  <c r="E244" i="11" s="1"/>
  <c r="AJ128" i="14"/>
  <c r="Z128" i="14" s="1"/>
  <c r="E253" i="11" s="1"/>
  <c r="AJ116" i="13"/>
  <c r="Z116" i="13" s="1"/>
  <c r="E219" i="11" s="1"/>
  <c r="AJ96" i="13"/>
  <c r="Z96" i="13" s="1"/>
  <c r="E214" i="11" s="1"/>
  <c r="AJ96" i="5"/>
  <c r="Z96" i="5" s="1"/>
  <c r="E183" i="11" s="1"/>
  <c r="AI131" i="4"/>
  <c r="Y131" i="4" s="1"/>
  <c r="E161" i="11" s="1"/>
  <c r="AK71" i="2"/>
  <c r="AA71" i="2" s="1"/>
  <c r="E114" i="11" s="1"/>
  <c r="AB131" i="3"/>
  <c r="R131" i="3" s="1"/>
  <c r="E99" i="11" s="1"/>
  <c r="AG138" i="1"/>
  <c r="U138" i="1" s="1"/>
  <c r="E70" i="11" s="1"/>
  <c r="AO138" i="20"/>
  <c r="AB138" i="20" s="1"/>
  <c r="E318" i="11" s="1"/>
  <c r="AJ84" i="14"/>
  <c r="Z84" i="14" s="1"/>
  <c r="E242" i="11" s="1"/>
  <c r="AJ84" i="13"/>
  <c r="Z84" i="13" s="1"/>
  <c r="E211" i="11" s="1"/>
  <c r="AJ104" i="5"/>
  <c r="Z104" i="5" s="1"/>
  <c r="E185" i="11" s="1"/>
  <c r="AJ80" i="5"/>
  <c r="Z80" i="5" s="1"/>
  <c r="E179" i="11" s="1"/>
  <c r="AI115" i="4"/>
  <c r="Y115" i="4" s="1"/>
  <c r="E157" i="11" s="1"/>
  <c r="AI99" i="4"/>
  <c r="Y99" i="4" s="1"/>
  <c r="E153" i="11" s="1"/>
  <c r="AK123" i="2"/>
  <c r="AA123" i="2" s="1"/>
  <c r="E127" i="11" s="1"/>
  <c r="AK107" i="2"/>
  <c r="AA107" i="2" s="1"/>
  <c r="E123" i="11" s="1"/>
  <c r="AK131" i="2"/>
  <c r="AA131" i="2" s="1"/>
  <c r="E129" i="11" s="1"/>
  <c r="AK63" i="2"/>
  <c r="AA63" i="2" s="1"/>
  <c r="E112" i="11" s="1"/>
  <c r="AK87" i="2"/>
  <c r="AA87" i="2" s="1"/>
  <c r="E118" i="11" s="1"/>
  <c r="AC103" i="6"/>
  <c r="W103" i="6" s="1"/>
  <c r="S103" i="6" s="1"/>
  <c r="E30" i="11" s="1"/>
  <c r="AO86" i="20"/>
  <c r="AB86" i="20" s="1"/>
  <c r="E305" i="11" s="1"/>
  <c r="AJ80" i="14"/>
  <c r="Z80" i="14" s="1"/>
  <c r="E241" i="11" s="1"/>
  <c r="AJ128" i="13"/>
  <c r="Z128" i="13" s="1"/>
  <c r="E222" i="11" s="1"/>
  <c r="AJ68" i="13"/>
  <c r="Z68" i="13" s="1"/>
  <c r="E207" i="11" s="1"/>
  <c r="AK91" i="2"/>
  <c r="AA91" i="2" s="1"/>
  <c r="E119" i="11" s="1"/>
  <c r="AK103" i="2"/>
  <c r="AA103" i="2" s="1"/>
  <c r="E122" i="11" s="1"/>
  <c r="AB99" i="3"/>
  <c r="R99" i="3" s="1"/>
  <c r="E91" i="11" s="1"/>
  <c r="AG106" i="1"/>
  <c r="U106" i="1" s="1"/>
  <c r="E62" i="11" s="1"/>
  <c r="AO102" i="20"/>
  <c r="AB102" i="20" s="1"/>
  <c r="E309" i="11" s="1"/>
  <c r="AO70" i="20"/>
  <c r="AB70" i="20" s="1"/>
  <c r="E301" i="11" s="1"/>
  <c r="AJ132" i="14"/>
  <c r="Z132" i="14" s="1"/>
  <c r="E254" i="11" s="1"/>
  <c r="AJ140" i="14"/>
  <c r="Z140" i="14" s="1"/>
  <c r="E256" i="11" s="1"/>
  <c r="AJ136" i="14"/>
  <c r="Z136" i="14" s="1"/>
  <c r="E255" i="11" s="1"/>
  <c r="AJ112" i="14"/>
  <c r="Z112" i="14" s="1"/>
  <c r="E249" i="11" s="1"/>
  <c r="AJ108" i="13"/>
  <c r="Z108" i="13" s="1"/>
  <c r="E217" i="11" s="1"/>
  <c r="AJ120" i="13"/>
  <c r="Z120" i="13" s="1"/>
  <c r="E220" i="11" s="1"/>
  <c r="AJ112" i="13"/>
  <c r="Z112" i="13" s="1"/>
  <c r="E218" i="11" s="1"/>
  <c r="AJ88" i="5"/>
  <c r="Z88" i="5" s="1"/>
  <c r="E181" i="11" s="1"/>
  <c r="AJ116" i="5"/>
  <c r="Z116" i="5" s="1"/>
  <c r="E188" i="11" s="1"/>
  <c r="AI135" i="4"/>
  <c r="Y135" i="4" s="1"/>
  <c r="E162" i="11" s="1"/>
  <c r="AB119" i="3"/>
  <c r="R119" i="3" s="1"/>
  <c r="E96" i="11" s="1"/>
  <c r="AK99" i="2"/>
  <c r="AA99" i="2" s="1"/>
  <c r="E121" i="11" s="1"/>
  <c r="AO122" i="20"/>
  <c r="AB122" i="20" s="1"/>
  <c r="E314" i="11" s="1"/>
  <c r="AJ76" i="14"/>
  <c r="Z76" i="14" s="1"/>
  <c r="E240" i="11" s="1"/>
  <c r="AJ88" i="13"/>
  <c r="Z88" i="13" s="1"/>
  <c r="E212" i="11" s="1"/>
  <c r="AJ56" i="5"/>
  <c r="Z56" i="5" s="1"/>
  <c r="E173" i="11" s="1"/>
  <c r="AI139" i="4"/>
  <c r="Y139" i="4" s="1"/>
  <c r="E163" i="11" s="1"/>
  <c r="AK115" i="2"/>
  <c r="AA115" i="2" s="1"/>
  <c r="E125" i="11" s="1"/>
  <c r="AK59" i="2"/>
  <c r="AA59" i="2" s="1"/>
  <c r="E111" i="11" s="1"/>
  <c r="AG130" i="1"/>
  <c r="U130" i="1" s="1"/>
  <c r="E68" i="11" s="1"/>
  <c r="AJ92" i="13"/>
  <c r="Z92" i="13" s="1"/>
  <c r="E213" i="11" s="1"/>
  <c r="AJ136" i="13"/>
  <c r="Z136" i="13" s="1"/>
  <c r="E224" i="11" s="1"/>
  <c r="AJ72" i="14"/>
  <c r="Z72" i="14" s="1"/>
  <c r="E239" i="11" s="1"/>
  <c r="AJ132" i="13"/>
  <c r="Z132" i="13" s="1"/>
  <c r="E223" i="11" s="1"/>
  <c r="AJ76" i="13"/>
  <c r="Z76" i="13" s="1"/>
  <c r="E209" i="11" s="1"/>
  <c r="AJ72" i="13"/>
  <c r="Z72" i="13" s="1"/>
  <c r="E208" i="11" s="1"/>
  <c r="AI95" i="4"/>
  <c r="Y95" i="4" s="1"/>
  <c r="E152" i="11" s="1"/>
  <c r="AI87" i="4"/>
  <c r="Y87" i="4" s="1"/>
  <c r="E150" i="11" s="1"/>
  <c r="AI67" i="4"/>
  <c r="Y67" i="4" s="1"/>
  <c r="E145" i="11" s="1"/>
  <c r="AK75" i="2"/>
  <c r="AA75" i="2" s="1"/>
  <c r="E115" i="11" s="1"/>
  <c r="AB115" i="3"/>
  <c r="R115" i="3" s="1"/>
  <c r="E95" i="11" s="1"/>
  <c r="AB123" i="3"/>
  <c r="R123" i="3" s="1"/>
  <c r="E97" i="11" s="1"/>
  <c r="AJ116" i="14"/>
  <c r="Z116" i="14" s="1"/>
  <c r="E250" i="11" s="1"/>
  <c r="AJ124" i="14"/>
  <c r="Z124" i="14" s="1"/>
  <c r="E252" i="11" s="1"/>
  <c r="AJ120" i="14"/>
  <c r="Z120" i="14" s="1"/>
  <c r="E251" i="11" s="1"/>
  <c r="AJ96" i="14"/>
  <c r="Z96" i="14" s="1"/>
  <c r="E245" i="11" s="1"/>
  <c r="AJ104" i="13"/>
  <c r="Z104" i="13" s="1"/>
  <c r="E216" i="11" s="1"/>
  <c r="AJ100" i="13"/>
  <c r="Z100" i="13" s="1"/>
  <c r="E215" i="11" s="1"/>
  <c r="AJ108" i="5"/>
  <c r="Z108" i="5" s="1"/>
  <c r="E186" i="11" s="1"/>
  <c r="AI107" i="4"/>
  <c r="Y107" i="4" s="1"/>
  <c r="E155" i="11" s="1"/>
  <c r="AO130" i="20"/>
  <c r="AB130" i="20" s="1"/>
  <c r="E316" i="11" s="1"/>
  <c r="AJ64" i="14"/>
  <c r="Z64" i="14" s="1"/>
  <c r="E237" i="11" s="1"/>
  <c r="AJ64" i="13"/>
  <c r="Z64" i="13" s="1"/>
  <c r="E206" i="11" s="1"/>
  <c r="AJ84" i="5"/>
  <c r="Z84" i="5" s="1"/>
  <c r="E180" i="11" s="1"/>
  <c r="AI123" i="4"/>
  <c r="Y123" i="4" s="1"/>
  <c r="E159" i="11" s="1"/>
  <c r="AJ60" i="14"/>
  <c r="Z60" i="14" s="1"/>
  <c r="E236" i="11" s="1"/>
  <c r="AJ60" i="13"/>
  <c r="Z60" i="13" s="1"/>
  <c r="E205" i="11" s="1"/>
  <c r="AJ124" i="5"/>
  <c r="Z124" i="5" s="1"/>
  <c r="E190" i="11" s="1"/>
  <c r="AJ76" i="5"/>
  <c r="Z76" i="5" s="1"/>
  <c r="E178" i="11" s="1"/>
  <c r="AJ72" i="5"/>
  <c r="Z72" i="5" s="1"/>
  <c r="E177" i="11" s="1"/>
  <c r="AI111" i="4"/>
  <c r="Y111" i="4" s="1"/>
  <c r="E156" i="11" s="1"/>
  <c r="AI75" i="4"/>
  <c r="Y75" i="4" s="1"/>
  <c r="E147" i="11" s="1"/>
  <c r="AB111" i="3"/>
  <c r="R111" i="3" s="1"/>
  <c r="E94" i="11" s="1"/>
  <c r="AO82" i="20"/>
  <c r="AB82" i="20" s="1"/>
  <c r="E304" i="11" s="1"/>
  <c r="AB79" i="3"/>
  <c r="R79" i="3" s="1"/>
  <c r="E86" i="11" s="1"/>
  <c r="AG126" i="1"/>
  <c r="U126" i="1" s="1"/>
  <c r="E67" i="11" s="1"/>
  <c r="AG118" i="1"/>
  <c r="U118" i="1" s="1"/>
  <c r="E65" i="11" s="1"/>
  <c r="AO106" i="20"/>
  <c r="AB106" i="20" s="1"/>
  <c r="E310" i="11" s="1"/>
  <c r="AG62" i="1"/>
  <c r="U62" i="1" s="1"/>
  <c r="E51" i="11" s="1"/>
  <c r="AO66" i="20"/>
  <c r="AB66" i="20" s="1"/>
  <c r="E300" i="11" s="1"/>
  <c r="AO58" i="20"/>
  <c r="AB58" i="20" s="1"/>
  <c r="E298" i="11" s="1"/>
  <c r="AK83" i="2"/>
  <c r="AA83" i="2" s="1"/>
  <c r="E117" i="11" s="1"/>
  <c r="AB95" i="3"/>
  <c r="R95" i="3" s="1"/>
  <c r="E90" i="11" s="1"/>
  <c r="AG74" i="1"/>
  <c r="U74" i="1" s="1"/>
  <c r="E54" i="11" s="1"/>
  <c r="AG98" i="1"/>
  <c r="U98" i="1" s="1"/>
  <c r="E60" i="11" s="1"/>
  <c r="AC135" i="6"/>
  <c r="W135" i="6" s="1"/>
  <c r="S135" i="6" s="1"/>
  <c r="E38" i="11" s="1"/>
  <c r="AC127" i="6"/>
  <c r="W127" i="6" s="1"/>
  <c r="S127" i="6" s="1"/>
  <c r="E36" i="11" s="1"/>
  <c r="AC59" i="6"/>
  <c r="AB83" i="3"/>
  <c r="R83" i="3" s="1"/>
  <c r="E87" i="11" s="1"/>
  <c r="AG78" i="1"/>
  <c r="U78" i="1" s="1"/>
  <c r="E55" i="11" s="1"/>
  <c r="AC131" i="6"/>
  <c r="W131" i="6" s="1"/>
  <c r="S131" i="6" s="1"/>
  <c r="E37" i="11" s="1"/>
  <c r="AC115" i="6"/>
  <c r="W115" i="6" s="1"/>
  <c r="S115" i="6" s="1"/>
  <c r="E33" i="11" s="1"/>
  <c r="AO134" i="20"/>
  <c r="AB134" i="20" s="1"/>
  <c r="E317" i="11" s="1"/>
  <c r="AJ132" i="5"/>
  <c r="Z132" i="5" s="1"/>
  <c r="E192" i="11" s="1"/>
  <c r="AC119" i="6"/>
  <c r="W119" i="6" s="1"/>
  <c r="S119" i="6" s="1"/>
  <c r="E34" i="11" s="1"/>
  <c r="AC83" i="6"/>
  <c r="W83" i="6" s="1"/>
  <c r="S83" i="6" s="1"/>
  <c r="E25" i="11" s="1"/>
  <c r="AC71" i="6"/>
  <c r="W71" i="6" s="1"/>
  <c r="S71" i="6" s="1"/>
  <c r="E22" i="11" s="1"/>
  <c r="AC67" i="6"/>
  <c r="W67" i="6" s="1"/>
  <c r="S67" i="6" s="1"/>
  <c r="E21" i="11" s="1"/>
  <c r="AI63" i="4"/>
  <c r="Y63" i="4" s="1"/>
  <c r="E144" i="11" s="1"/>
  <c r="AO90" i="20"/>
  <c r="AB90" i="20" s="1"/>
  <c r="E306" i="11" s="1"/>
  <c r="AK111" i="2"/>
  <c r="AA111" i="2" s="1"/>
  <c r="E124" i="11" s="1"/>
  <c r="AO62" i="20"/>
  <c r="AB62" i="20" s="1"/>
  <c r="E299" i="11" s="1"/>
  <c r="AJ136" i="5"/>
  <c r="Z136" i="5" s="1"/>
  <c r="E193" i="11" s="1"/>
  <c r="AJ100" i="5"/>
  <c r="Z100" i="5" s="1"/>
  <c r="E184" i="11" s="1"/>
  <c r="AB59" i="3"/>
  <c r="R59" i="3" s="1"/>
  <c r="E81" i="11" s="1"/>
  <c r="AC111" i="6"/>
  <c r="W111" i="6" s="1"/>
  <c r="S111" i="6" s="1"/>
  <c r="E32" i="11" s="1"/>
  <c r="AG66" i="1"/>
  <c r="U66" i="1" s="1"/>
  <c r="E52" i="11" s="1"/>
  <c r="AG70" i="1"/>
  <c r="U70" i="1" s="1"/>
  <c r="E53" i="11" s="1"/>
  <c r="AI91" i="4"/>
  <c r="Y91" i="4" s="1"/>
  <c r="E151" i="11" s="1"/>
  <c r="AB71" i="3"/>
  <c r="R71" i="3" s="1"/>
  <c r="E84" i="11" s="1"/>
  <c r="AB75" i="3"/>
  <c r="R75" i="3" s="1"/>
  <c r="E85" i="11" s="1"/>
  <c r="AG110" i="1"/>
  <c r="U110" i="1" s="1"/>
  <c r="E63" i="11" s="1"/>
  <c r="AG90" i="1"/>
  <c r="U90" i="1" s="1"/>
  <c r="E58" i="11" s="1"/>
  <c r="AG58" i="1"/>
  <c r="U58" i="1" s="1"/>
  <c r="E50" i="11" s="1"/>
  <c r="AB139" i="3"/>
  <c r="R139" i="3" s="1"/>
  <c r="E101" i="11" s="1"/>
  <c r="AG102" i="1"/>
  <c r="U102" i="1" s="1"/>
  <c r="E61" i="11" s="1"/>
  <c r="AK79" i="2"/>
  <c r="AA79" i="2" s="1"/>
  <c r="E116" i="11" s="1"/>
  <c r="AB91" i="3"/>
  <c r="R91" i="3" s="1"/>
  <c r="E89" i="11" s="1"/>
  <c r="AB63" i="3"/>
  <c r="R63" i="3" s="1"/>
  <c r="E82" i="11" s="1"/>
  <c r="AB67" i="3"/>
  <c r="R67" i="3" s="1"/>
  <c r="E83" i="11" s="1"/>
  <c r="AO74" i="20"/>
  <c r="AB74" i="20" s="1"/>
  <c r="E302" i="11" s="1"/>
  <c r="AJ68" i="5"/>
  <c r="Z68" i="5" s="1"/>
  <c r="E176" i="11" s="1"/>
  <c r="AJ60" i="5"/>
  <c r="Z60" i="5" s="1"/>
  <c r="E174" i="11" s="1"/>
  <c r="AI127" i="4"/>
  <c r="Y127" i="4" s="1"/>
  <c r="E160" i="11" s="1"/>
  <c r="AC139" i="6"/>
  <c r="W139" i="6" s="1"/>
  <c r="S139" i="6" s="1"/>
  <c r="E39" i="11" s="1"/>
  <c r="AC87" i="6"/>
  <c r="W87" i="6" s="1"/>
  <c r="S87" i="6" s="1"/>
  <c r="E26" i="11" s="1"/>
  <c r="AC91" i="6"/>
  <c r="W91" i="6" s="1"/>
  <c r="S91" i="6" s="1"/>
  <c r="E27" i="11" s="1"/>
  <c r="AO114" i="20"/>
  <c r="AB114" i="20" s="1"/>
  <c r="E312" i="11" s="1"/>
  <c r="AB135" i="3"/>
  <c r="R135" i="3" s="1"/>
  <c r="E100" i="11" s="1"/>
  <c r="AG134" i="1"/>
  <c r="U134" i="1" s="1"/>
  <c r="E69" i="11" s="1"/>
  <c r="AC123" i="6"/>
  <c r="W123" i="6" s="1"/>
  <c r="S123" i="6" s="1"/>
  <c r="E35" i="11" s="1"/>
  <c r="AC107" i="6"/>
  <c r="W107" i="6" s="1"/>
  <c r="S107" i="6" s="1"/>
  <c r="E31" i="11" s="1"/>
  <c r="AC99" i="6"/>
  <c r="W99" i="6" s="1"/>
  <c r="S99" i="6" s="1"/>
  <c r="E29" i="11" s="1"/>
  <c r="AG86" i="1"/>
  <c r="U86" i="1" s="1"/>
  <c r="E57" i="11" s="1"/>
  <c r="AG94" i="1"/>
  <c r="U94" i="1" s="1"/>
  <c r="E59" i="11" s="1"/>
  <c r="AG82" i="1"/>
  <c r="U82" i="1" s="1"/>
  <c r="E56" i="11" s="1"/>
  <c r="AC79" i="6"/>
  <c r="W79" i="6" s="1"/>
  <c r="S79" i="6" s="1"/>
  <c r="E24" i="11" s="1"/>
  <c r="AC63" i="6"/>
  <c r="W63" i="6" s="1"/>
  <c r="S63" i="6" s="1"/>
  <c r="E20" i="11" s="1"/>
  <c r="AJ92" i="5"/>
  <c r="Z92" i="5" s="1"/>
  <c r="E182" i="11" s="1"/>
  <c r="AO78" i="20"/>
  <c r="AB78" i="20" s="1"/>
  <c r="E303" i="11" s="1"/>
  <c r="AJ112" i="5"/>
  <c r="Z112" i="5" s="1"/>
  <c r="E187" i="11" s="1"/>
  <c r="AI71" i="4"/>
  <c r="Y71" i="4" s="1"/>
  <c r="E146" i="11" s="1"/>
  <c r="AI79" i="4"/>
  <c r="Y79" i="4" s="1"/>
  <c r="E148" i="11" s="1"/>
  <c r="AK95" i="2"/>
  <c r="AA95" i="2" s="1"/>
  <c r="E120" i="11" s="1"/>
  <c r="AB87" i="3"/>
  <c r="R87" i="3" s="1"/>
  <c r="E88" i="11" s="1"/>
  <c r="AC95" i="6"/>
  <c r="W95" i="6" s="1"/>
  <c r="S95" i="6" s="1"/>
  <c r="E28" i="11" s="1"/>
  <c r="AB107" i="3"/>
  <c r="R107" i="3" s="1"/>
  <c r="E93" i="11" s="1"/>
  <c r="AO26" i="20"/>
  <c r="AB26" i="20" s="1"/>
  <c r="E290" i="11" s="1"/>
  <c r="AO42" i="20"/>
  <c r="AB42" i="20" s="1"/>
  <c r="E294" i="11" s="1"/>
  <c r="AO50" i="20"/>
  <c r="AB50" i="20" s="1"/>
  <c r="E296" i="11" s="1"/>
  <c r="AO46" i="20"/>
  <c r="AB46" i="20" s="1"/>
  <c r="E295" i="11" s="1"/>
  <c r="AO30" i="20"/>
  <c r="AB30" i="20" s="1"/>
  <c r="E291" i="11" s="1"/>
  <c r="AO38" i="20"/>
  <c r="AB38" i="20" s="1"/>
  <c r="E293" i="11" s="1"/>
  <c r="AO22" i="20"/>
  <c r="AB22" i="20" s="1"/>
  <c r="AL42" i="20"/>
  <c r="AJ42" i="20" s="1"/>
  <c r="W7" i="15"/>
  <c r="W6" i="15"/>
  <c r="W5" i="15"/>
  <c r="E22" i="20"/>
  <c r="Y22" i="20"/>
  <c r="Z22" i="20" s="1"/>
  <c r="BB22" i="20"/>
  <c r="BB139" i="20" s="1"/>
  <c r="AK22" i="20"/>
  <c r="AL22" i="20"/>
  <c r="BI22" i="20"/>
  <c r="BI139" i="20" s="1"/>
  <c r="AQ51" i="5"/>
  <c r="AP51" i="5"/>
  <c r="AO51" i="5"/>
  <c r="AZ50" i="5"/>
  <c r="AY50" i="5"/>
  <c r="AR50" i="5"/>
  <c r="AQ50" i="5"/>
  <c r="AP50" i="5"/>
  <c r="AO50" i="5"/>
  <c r="AQ47" i="5"/>
  <c r="AP47" i="5"/>
  <c r="AO47" i="5"/>
  <c r="AZ46" i="5"/>
  <c r="AY46" i="5"/>
  <c r="AR46" i="5"/>
  <c r="AQ46" i="5"/>
  <c r="AP46" i="5"/>
  <c r="AO46" i="5"/>
  <c r="AQ43" i="5"/>
  <c r="AP43" i="5"/>
  <c r="AO43" i="5"/>
  <c r="AZ42" i="5"/>
  <c r="AY42" i="5"/>
  <c r="AR42" i="5"/>
  <c r="AQ42" i="5"/>
  <c r="AP42" i="5"/>
  <c r="AO42" i="5"/>
  <c r="AQ39" i="5"/>
  <c r="AP39" i="5"/>
  <c r="AO39" i="5"/>
  <c r="AZ38" i="5"/>
  <c r="AY38" i="5"/>
  <c r="AR38" i="5"/>
  <c r="AQ38" i="5"/>
  <c r="AP38" i="5"/>
  <c r="AO38" i="5"/>
  <c r="AQ35" i="5"/>
  <c r="AP35" i="5"/>
  <c r="AO35" i="5"/>
  <c r="AZ34" i="5"/>
  <c r="AY34" i="5"/>
  <c r="AR34" i="5"/>
  <c r="AQ34" i="5"/>
  <c r="AP34" i="5"/>
  <c r="AO34" i="5"/>
  <c r="AQ31" i="5"/>
  <c r="AP31" i="5"/>
  <c r="AO31" i="5"/>
  <c r="AZ30" i="5"/>
  <c r="AY30" i="5"/>
  <c r="AR30" i="5"/>
  <c r="AQ30" i="5"/>
  <c r="AP30" i="5"/>
  <c r="AO30" i="5"/>
  <c r="AQ27" i="5"/>
  <c r="AP27" i="5"/>
  <c r="AO27" i="5"/>
  <c r="AZ26" i="5"/>
  <c r="AY26" i="5"/>
  <c r="AR26" i="5"/>
  <c r="AQ26" i="5"/>
  <c r="AP26" i="5"/>
  <c r="AO26" i="5"/>
  <c r="AQ23" i="5"/>
  <c r="AP23" i="5"/>
  <c r="AO23" i="5"/>
  <c r="AZ22" i="5"/>
  <c r="AY22" i="5"/>
  <c r="AR22" i="5"/>
  <c r="AQ22" i="5"/>
  <c r="AP22" i="5"/>
  <c r="AO22" i="5"/>
  <c r="AT55" i="2"/>
  <c r="AQ54" i="2"/>
  <c r="AP54" i="2"/>
  <c r="AO54" i="2"/>
  <c r="BA53" i="2"/>
  <c r="AZ53" i="2"/>
  <c r="AR53" i="2"/>
  <c r="AQ53" i="2"/>
  <c r="AP53" i="2"/>
  <c r="AO53" i="2"/>
  <c r="AT51" i="2"/>
  <c r="AQ50" i="2"/>
  <c r="AP50" i="2"/>
  <c r="AO50" i="2"/>
  <c r="BA49" i="2"/>
  <c r="AZ49" i="2"/>
  <c r="AR49" i="2"/>
  <c r="AQ49" i="2"/>
  <c r="AP49" i="2"/>
  <c r="AO49" i="2"/>
  <c r="AT47" i="2"/>
  <c r="AQ46" i="2"/>
  <c r="AP46" i="2"/>
  <c r="AO46" i="2"/>
  <c r="BA45" i="2"/>
  <c r="AZ45" i="2"/>
  <c r="AR45" i="2"/>
  <c r="AQ45" i="2"/>
  <c r="AP45" i="2"/>
  <c r="AO45" i="2"/>
  <c r="AT43" i="2"/>
  <c r="AQ42" i="2"/>
  <c r="AP42" i="2"/>
  <c r="AO42" i="2"/>
  <c r="BA41" i="2"/>
  <c r="AZ41" i="2"/>
  <c r="AR41" i="2"/>
  <c r="AQ41" i="2"/>
  <c r="AP41" i="2"/>
  <c r="AO41" i="2"/>
  <c r="AT39" i="2"/>
  <c r="AQ38" i="2"/>
  <c r="AP38" i="2"/>
  <c r="AO38" i="2"/>
  <c r="BA37" i="2"/>
  <c r="AZ37" i="2"/>
  <c r="AR37" i="2"/>
  <c r="AQ37" i="2"/>
  <c r="AP37" i="2"/>
  <c r="AO37" i="2"/>
  <c r="AT35" i="2"/>
  <c r="AQ34" i="2"/>
  <c r="AP34" i="2"/>
  <c r="AO34" i="2"/>
  <c r="BA33" i="2"/>
  <c r="AZ33" i="2"/>
  <c r="AR33" i="2"/>
  <c r="AQ33" i="2"/>
  <c r="AP33" i="2"/>
  <c r="AO33" i="2"/>
  <c r="AT31" i="2"/>
  <c r="AQ30" i="2"/>
  <c r="AP30" i="2"/>
  <c r="AO30" i="2"/>
  <c r="BA29" i="2"/>
  <c r="AZ29" i="2"/>
  <c r="AR29" i="2"/>
  <c r="AQ29" i="2"/>
  <c r="AP29" i="2"/>
  <c r="AO29" i="2"/>
  <c r="AT27" i="2"/>
  <c r="AT146" i="2" s="1"/>
  <c r="AQ26" i="2"/>
  <c r="AP26" i="2"/>
  <c r="AO26" i="2"/>
  <c r="BA25" i="2"/>
  <c r="AZ25" i="2"/>
  <c r="AR25" i="2"/>
  <c r="AQ25" i="2"/>
  <c r="AP25" i="2"/>
  <c r="AO25" i="2"/>
  <c r="AT54" i="1"/>
  <c r="AO53" i="1"/>
  <c r="AM53" i="1"/>
  <c r="AK53" i="1"/>
  <c r="BD52" i="1"/>
  <c r="BC52" i="1"/>
  <c r="BB52" i="1"/>
  <c r="BA52" i="1"/>
  <c r="AQ52" i="1"/>
  <c r="AO52" i="1"/>
  <c r="AM52" i="1"/>
  <c r="AK52" i="1"/>
  <c r="AT50" i="1"/>
  <c r="AO49" i="1"/>
  <c r="AM49" i="1"/>
  <c r="AK49" i="1"/>
  <c r="BD48" i="1"/>
  <c r="BC48" i="1"/>
  <c r="BB48" i="1"/>
  <c r="BA48" i="1"/>
  <c r="AQ48" i="1"/>
  <c r="AO48" i="1"/>
  <c r="AM48" i="1"/>
  <c r="AK48" i="1"/>
  <c r="AT46" i="1"/>
  <c r="AO45" i="1"/>
  <c r="AM45" i="1"/>
  <c r="AK45" i="1"/>
  <c r="BD44" i="1"/>
  <c r="BC44" i="1"/>
  <c r="BB44" i="1"/>
  <c r="BA44" i="1"/>
  <c r="AQ44" i="1"/>
  <c r="AO44" i="1"/>
  <c r="AM44" i="1"/>
  <c r="AK44" i="1"/>
  <c r="AT42" i="1"/>
  <c r="AO41" i="1"/>
  <c r="AM41" i="1"/>
  <c r="AK41" i="1"/>
  <c r="BD40" i="1"/>
  <c r="BC40" i="1"/>
  <c r="BB40" i="1"/>
  <c r="BA40" i="1"/>
  <c r="AQ40" i="1"/>
  <c r="AO40" i="1"/>
  <c r="AM40" i="1"/>
  <c r="AK40" i="1"/>
  <c r="AT38" i="1"/>
  <c r="AO37" i="1"/>
  <c r="AM37" i="1"/>
  <c r="AK37" i="1"/>
  <c r="BD36" i="1"/>
  <c r="BC36" i="1"/>
  <c r="BB36" i="1"/>
  <c r="BA36" i="1"/>
  <c r="AQ36" i="1"/>
  <c r="AO36" i="1"/>
  <c r="AM36" i="1"/>
  <c r="AK36" i="1"/>
  <c r="AT34" i="1"/>
  <c r="AO33" i="1"/>
  <c r="AM33" i="1"/>
  <c r="AK33" i="1"/>
  <c r="BD32" i="1"/>
  <c r="BC32" i="1"/>
  <c r="BB32" i="1"/>
  <c r="BA32" i="1"/>
  <c r="AQ32" i="1"/>
  <c r="AO32" i="1"/>
  <c r="AM32" i="1"/>
  <c r="AK32" i="1"/>
  <c r="AT30" i="1"/>
  <c r="AO29" i="1"/>
  <c r="AM29" i="1"/>
  <c r="AK29" i="1"/>
  <c r="BD28" i="1"/>
  <c r="BC28" i="1"/>
  <c r="BB28" i="1"/>
  <c r="BA28" i="1"/>
  <c r="AQ28" i="1"/>
  <c r="AO28" i="1"/>
  <c r="AM28" i="1"/>
  <c r="AK28" i="1"/>
  <c r="AT26" i="1"/>
  <c r="AO25" i="1"/>
  <c r="AM25" i="1"/>
  <c r="AK25" i="1"/>
  <c r="BD24" i="1"/>
  <c r="BC24" i="1"/>
  <c r="BB24" i="1"/>
  <c r="BA24" i="1"/>
  <c r="AQ24" i="1"/>
  <c r="AO24" i="1"/>
  <c r="AM24" i="1"/>
  <c r="AK24" i="1"/>
  <c r="AT22" i="1"/>
  <c r="AO21" i="1"/>
  <c r="AM21" i="1"/>
  <c r="AK21" i="1"/>
  <c r="BD20" i="1"/>
  <c r="BC20" i="1"/>
  <c r="BB20" i="1"/>
  <c r="BA20" i="1"/>
  <c r="AQ20" i="1"/>
  <c r="AO20" i="1"/>
  <c r="AM20" i="1"/>
  <c r="AK20" i="1"/>
  <c r="AJ54" i="3"/>
  <c r="AH54" i="3"/>
  <c r="AF54" i="3"/>
  <c r="AV53" i="3"/>
  <c r="AU53" i="3"/>
  <c r="AT53" i="3"/>
  <c r="AS53" i="3"/>
  <c r="AL53" i="3"/>
  <c r="AJ53" i="3"/>
  <c r="AH53" i="3"/>
  <c r="AF53" i="3"/>
  <c r="AJ50" i="3"/>
  <c r="AH50" i="3"/>
  <c r="AF50" i="3"/>
  <c r="AV49" i="3"/>
  <c r="AU49" i="3"/>
  <c r="AT49" i="3"/>
  <c r="AS49" i="3"/>
  <c r="AL49" i="3"/>
  <c r="AJ49" i="3"/>
  <c r="AH49" i="3"/>
  <c r="AF49" i="3"/>
  <c r="AJ46" i="3"/>
  <c r="AH46" i="3"/>
  <c r="AF46" i="3"/>
  <c r="AV45" i="3"/>
  <c r="AU45" i="3"/>
  <c r="AT45" i="3"/>
  <c r="AS45" i="3"/>
  <c r="AL45" i="3"/>
  <c r="AJ45" i="3"/>
  <c r="AH45" i="3"/>
  <c r="AF45" i="3"/>
  <c r="AJ42" i="3"/>
  <c r="AH42" i="3"/>
  <c r="AF42" i="3"/>
  <c r="AV41" i="3"/>
  <c r="AU41" i="3"/>
  <c r="AT41" i="3"/>
  <c r="AS41" i="3"/>
  <c r="AL41" i="3"/>
  <c r="AJ41" i="3"/>
  <c r="AH41" i="3"/>
  <c r="AF41" i="3"/>
  <c r="AJ38" i="3"/>
  <c r="AH38" i="3"/>
  <c r="AF38" i="3"/>
  <c r="AV37" i="3"/>
  <c r="AU37" i="3"/>
  <c r="AT37" i="3"/>
  <c r="AS37" i="3"/>
  <c r="AL37" i="3"/>
  <c r="AJ37" i="3"/>
  <c r="AH37" i="3"/>
  <c r="AF37" i="3"/>
  <c r="AJ34" i="3"/>
  <c r="AH34" i="3"/>
  <c r="AF34" i="3"/>
  <c r="AV33" i="3"/>
  <c r="AU33" i="3"/>
  <c r="AT33" i="3"/>
  <c r="AS33" i="3"/>
  <c r="AL33" i="3"/>
  <c r="AJ33" i="3"/>
  <c r="AH33" i="3"/>
  <c r="AF33" i="3"/>
  <c r="AJ30" i="3"/>
  <c r="AH30" i="3"/>
  <c r="AF30" i="3"/>
  <c r="AV29" i="3"/>
  <c r="AU29" i="3"/>
  <c r="AT29" i="3"/>
  <c r="AS29" i="3"/>
  <c r="AL29" i="3"/>
  <c r="AJ29" i="3"/>
  <c r="AH29" i="3"/>
  <c r="AF29" i="3"/>
  <c r="AJ26" i="3"/>
  <c r="AH26" i="3"/>
  <c r="AF26" i="3"/>
  <c r="AV25" i="3"/>
  <c r="AU25" i="3"/>
  <c r="AT25" i="3"/>
  <c r="AS25" i="3"/>
  <c r="AL25" i="3"/>
  <c r="AJ25" i="3"/>
  <c r="AH25" i="3"/>
  <c r="AF25" i="3"/>
  <c r="AV21" i="3"/>
  <c r="AU21" i="3"/>
  <c r="AT21" i="3"/>
  <c r="AS21" i="3"/>
  <c r="AJ22" i="3"/>
  <c r="AH22" i="3"/>
  <c r="AF22" i="3"/>
  <c r="AL21" i="3"/>
  <c r="AJ21" i="3"/>
  <c r="AH21" i="3"/>
  <c r="AF21" i="3"/>
  <c r="AM54" i="6"/>
  <c r="AK54" i="6"/>
  <c r="AI54" i="6"/>
  <c r="AO53" i="6"/>
  <c r="AM53" i="6"/>
  <c r="AK53" i="6"/>
  <c r="AI53" i="6"/>
  <c r="AM50" i="6"/>
  <c r="AK50" i="6"/>
  <c r="AI50" i="6"/>
  <c r="AO49" i="6"/>
  <c r="AM49" i="6"/>
  <c r="AK49" i="6"/>
  <c r="AI49" i="6"/>
  <c r="AM46" i="6"/>
  <c r="AK46" i="6"/>
  <c r="AI46" i="6"/>
  <c r="AO45" i="6"/>
  <c r="AM45" i="6"/>
  <c r="AK45" i="6"/>
  <c r="AI45" i="6"/>
  <c r="AM42" i="6"/>
  <c r="AK42" i="6"/>
  <c r="AI42" i="6"/>
  <c r="AO41" i="6"/>
  <c r="AM41" i="6"/>
  <c r="AK41" i="6"/>
  <c r="AI41" i="6"/>
  <c r="AM38" i="6"/>
  <c r="AK38" i="6"/>
  <c r="AI38" i="6"/>
  <c r="AO37" i="6"/>
  <c r="AM37" i="6"/>
  <c r="AK37" i="6"/>
  <c r="AI37" i="6"/>
  <c r="AM34" i="6"/>
  <c r="AK34" i="6"/>
  <c r="AI34" i="6"/>
  <c r="AO33" i="6"/>
  <c r="AM33" i="6"/>
  <c r="AK33" i="6"/>
  <c r="AI33" i="6"/>
  <c r="AM30" i="6"/>
  <c r="AK30" i="6"/>
  <c r="AI30" i="6"/>
  <c r="AO29" i="6"/>
  <c r="AM29" i="6"/>
  <c r="AK29" i="6"/>
  <c r="AI29" i="6"/>
  <c r="AM26" i="6"/>
  <c r="AK26" i="6"/>
  <c r="AI26" i="6"/>
  <c r="AO25" i="6"/>
  <c r="AM25" i="6"/>
  <c r="AK25" i="6"/>
  <c r="AI25" i="6"/>
  <c r="AO21" i="6"/>
  <c r="AM22" i="6"/>
  <c r="AM21" i="6"/>
  <c r="AK22" i="6"/>
  <c r="AK21" i="6"/>
  <c r="AI22" i="6"/>
  <c r="AI21" i="6"/>
  <c r="BB53" i="6"/>
  <c r="BA53" i="6"/>
  <c r="AZ53" i="6"/>
  <c r="AY53" i="6"/>
  <c r="BB49" i="6"/>
  <c r="BA49" i="6"/>
  <c r="AZ49" i="6"/>
  <c r="AY49" i="6"/>
  <c r="BB45" i="6"/>
  <c r="BA45" i="6"/>
  <c r="AZ45" i="6"/>
  <c r="AY45" i="6"/>
  <c r="BB41" i="6"/>
  <c r="BA41" i="6"/>
  <c r="AZ41" i="6"/>
  <c r="AY41" i="6"/>
  <c r="BB37" i="6"/>
  <c r="BA37" i="6"/>
  <c r="AZ37" i="6"/>
  <c r="AY37" i="6"/>
  <c r="BB33" i="6"/>
  <c r="BA33" i="6"/>
  <c r="AZ33" i="6"/>
  <c r="AY33" i="6"/>
  <c r="BB29" i="6"/>
  <c r="BA29" i="6"/>
  <c r="AZ29" i="6"/>
  <c r="AY29" i="6"/>
  <c r="BB25" i="6"/>
  <c r="BA25" i="6"/>
  <c r="AZ25" i="6"/>
  <c r="AY25" i="6"/>
  <c r="BB21" i="6"/>
  <c r="BA21" i="6"/>
  <c r="AZ21" i="6"/>
  <c r="AY21" i="6"/>
  <c r="C22" i="6"/>
  <c r="E22" i="6" s="1"/>
  <c r="U165" i="25" l="1"/>
  <c r="E327" i="11" s="1"/>
  <c r="AA3" i="20"/>
  <c r="E289" i="11"/>
  <c r="W12" i="15"/>
  <c r="AT139" i="1"/>
  <c r="P12" i="15" s="1"/>
  <c r="AI23" i="6"/>
  <c r="R12" i="15"/>
  <c r="AJ23" i="6"/>
  <c r="W4" i="15"/>
  <c r="W3" i="15"/>
  <c r="AP23" i="6"/>
  <c r="AM23" i="6"/>
  <c r="AK23" i="6"/>
  <c r="AN23" i="6"/>
  <c r="AO23" i="6"/>
  <c r="AA22" i="20"/>
  <c r="AJ22" i="20"/>
  <c r="AQ22" i="20"/>
  <c r="AW23" i="6"/>
  <c r="AY23" i="6" s="1"/>
  <c r="AX23" i="6"/>
  <c r="Z23" i="6"/>
  <c r="AR55" i="6"/>
  <c r="AR51" i="6"/>
  <c r="AR47" i="6"/>
  <c r="AR43" i="6"/>
  <c r="AR39" i="6"/>
  <c r="AR35" i="6"/>
  <c r="AR31" i="6"/>
  <c r="AR27" i="6"/>
  <c r="AR23" i="6"/>
  <c r="X54" i="1"/>
  <c r="W54" i="1"/>
  <c r="V54" i="1"/>
  <c r="X50" i="1"/>
  <c r="W50" i="1"/>
  <c r="V50" i="1"/>
  <c r="X46" i="1"/>
  <c r="W46" i="1"/>
  <c r="V46" i="1"/>
  <c r="X42" i="1"/>
  <c r="W42" i="1"/>
  <c r="V42" i="1"/>
  <c r="X38" i="1"/>
  <c r="W38" i="1"/>
  <c r="V38" i="1"/>
  <c r="X34" i="1"/>
  <c r="W34" i="1"/>
  <c r="V34" i="1"/>
  <c r="X30" i="1"/>
  <c r="W30" i="1"/>
  <c r="V30" i="1"/>
  <c r="X26" i="1"/>
  <c r="W26" i="1"/>
  <c r="V26" i="1"/>
  <c r="X22" i="1"/>
  <c r="W22" i="1"/>
  <c r="V22" i="1"/>
  <c r="S23" i="3"/>
  <c r="T23" i="3"/>
  <c r="U23" i="3"/>
  <c r="AC52" i="14"/>
  <c r="AB52" i="14"/>
  <c r="AA52" i="14"/>
  <c r="AC48" i="14"/>
  <c r="AB48" i="14"/>
  <c r="AA48" i="14"/>
  <c r="AC44" i="14"/>
  <c r="AB44" i="14"/>
  <c r="AA44" i="14"/>
  <c r="AC40" i="14"/>
  <c r="AB40" i="14"/>
  <c r="AA40" i="14"/>
  <c r="AC36" i="14"/>
  <c r="AB36" i="14"/>
  <c r="AA36" i="14"/>
  <c r="AC32" i="14"/>
  <c r="AB32" i="14"/>
  <c r="AA32" i="14"/>
  <c r="AC28" i="14"/>
  <c r="AB28" i="14"/>
  <c r="AA28" i="14"/>
  <c r="AC24" i="14"/>
  <c r="AB24" i="14"/>
  <c r="AA24" i="14"/>
  <c r="AC52" i="13"/>
  <c r="AB52" i="13"/>
  <c r="AA52" i="13"/>
  <c r="AC48" i="13"/>
  <c r="AB48" i="13"/>
  <c r="AA48" i="13"/>
  <c r="AC44" i="13"/>
  <c r="AB44" i="13"/>
  <c r="AA44" i="13"/>
  <c r="AC40" i="13"/>
  <c r="AB40" i="13"/>
  <c r="AA40" i="13"/>
  <c r="AC36" i="13"/>
  <c r="AB36" i="13"/>
  <c r="AA36" i="13"/>
  <c r="AC32" i="13"/>
  <c r="AB32" i="13"/>
  <c r="AA32" i="13"/>
  <c r="AC28" i="13"/>
  <c r="AB28" i="13"/>
  <c r="AA28" i="13"/>
  <c r="AC24" i="13"/>
  <c r="AB24" i="13"/>
  <c r="AA24" i="13"/>
  <c r="AC44" i="5"/>
  <c r="AB44" i="5"/>
  <c r="AA44" i="5"/>
  <c r="AC52" i="5"/>
  <c r="AB52" i="5"/>
  <c r="AA52" i="5"/>
  <c r="AC48" i="5"/>
  <c r="AB48" i="5"/>
  <c r="AA48" i="5"/>
  <c r="AC40" i="5"/>
  <c r="AB40" i="5"/>
  <c r="AA40" i="5"/>
  <c r="AC36" i="5"/>
  <c r="AB36" i="5"/>
  <c r="AA36" i="5"/>
  <c r="AC32" i="5"/>
  <c r="AB32" i="5"/>
  <c r="AA32" i="5"/>
  <c r="AC28" i="5"/>
  <c r="AB28" i="5"/>
  <c r="AA28" i="5"/>
  <c r="AC24" i="5"/>
  <c r="AB24" i="5"/>
  <c r="AA24" i="5"/>
  <c r="AB55" i="4"/>
  <c r="AA55" i="4"/>
  <c r="Z55" i="4"/>
  <c r="AB51" i="4"/>
  <c r="AA51" i="4"/>
  <c r="Z51" i="4"/>
  <c r="AB47" i="4"/>
  <c r="AA47" i="4"/>
  <c r="Z47" i="4"/>
  <c r="AB43" i="4"/>
  <c r="AA43" i="4"/>
  <c r="Z43" i="4"/>
  <c r="AB39" i="4"/>
  <c r="AA39" i="4"/>
  <c r="Z39" i="4"/>
  <c r="AB35" i="4"/>
  <c r="AA35" i="4"/>
  <c r="Z35" i="4"/>
  <c r="AB31" i="4"/>
  <c r="AA31" i="4"/>
  <c r="Z31" i="4"/>
  <c r="AB27" i="4"/>
  <c r="AA27" i="4"/>
  <c r="Z27" i="4"/>
  <c r="AB23" i="4"/>
  <c r="AA23" i="4"/>
  <c r="Z23" i="4"/>
  <c r="F49" i="4"/>
  <c r="H49" i="4"/>
  <c r="AZ63" i="4" s="1"/>
  <c r="I49" i="4"/>
  <c r="AD55" i="2"/>
  <c r="AC55" i="2"/>
  <c r="AB55" i="2"/>
  <c r="AD51" i="2"/>
  <c r="AC51" i="2"/>
  <c r="AB51" i="2"/>
  <c r="AD47" i="2"/>
  <c r="AC47" i="2"/>
  <c r="AB47" i="2"/>
  <c r="AD43" i="2"/>
  <c r="AC43" i="2"/>
  <c r="AB43" i="2"/>
  <c r="AD39" i="2"/>
  <c r="AC39" i="2"/>
  <c r="AB39" i="2"/>
  <c r="AD35" i="2"/>
  <c r="AC35" i="2"/>
  <c r="AB35" i="2"/>
  <c r="AD31" i="2"/>
  <c r="AC31" i="2"/>
  <c r="AB31" i="2"/>
  <c r="AD27" i="2"/>
  <c r="AC27" i="2"/>
  <c r="AB27" i="2"/>
  <c r="B30" i="2"/>
  <c r="U55" i="3"/>
  <c r="T55" i="3"/>
  <c r="S55" i="3"/>
  <c r="U51" i="3"/>
  <c r="T51" i="3"/>
  <c r="S51" i="3"/>
  <c r="U47" i="3"/>
  <c r="T47" i="3"/>
  <c r="S47" i="3"/>
  <c r="U43" i="3"/>
  <c r="T43" i="3"/>
  <c r="S43" i="3"/>
  <c r="U39" i="3"/>
  <c r="T39" i="3"/>
  <c r="S39" i="3"/>
  <c r="U35" i="3"/>
  <c r="T35" i="3"/>
  <c r="S35" i="3"/>
  <c r="U31" i="3"/>
  <c r="T31" i="3"/>
  <c r="S31" i="3"/>
  <c r="U27" i="3"/>
  <c r="T27" i="3"/>
  <c r="S27" i="3"/>
  <c r="V55" i="6"/>
  <c r="U55" i="6"/>
  <c r="T55" i="6"/>
  <c r="V51" i="6"/>
  <c r="U51" i="6"/>
  <c r="T51" i="6"/>
  <c r="V47" i="6"/>
  <c r="U47" i="6"/>
  <c r="T47" i="6"/>
  <c r="V43" i="6"/>
  <c r="U43" i="6"/>
  <c r="T43" i="6"/>
  <c r="V39" i="6"/>
  <c r="U39" i="6"/>
  <c r="T39" i="6"/>
  <c r="V35" i="6"/>
  <c r="U35" i="6"/>
  <c r="T35" i="6"/>
  <c r="V31" i="6"/>
  <c r="U31" i="6"/>
  <c r="T31" i="6"/>
  <c r="V27" i="6"/>
  <c r="U27" i="6"/>
  <c r="T27" i="6"/>
  <c r="V23" i="6"/>
  <c r="U23" i="6"/>
  <c r="T23" i="6"/>
  <c r="S54" i="4"/>
  <c r="D54" i="4"/>
  <c r="BF55" i="4" s="1"/>
  <c r="C54" i="4"/>
  <c r="BE55" i="4" s="1"/>
  <c r="B54" i="4"/>
  <c r="BD55" i="4" s="1"/>
  <c r="I53" i="4"/>
  <c r="H53" i="4"/>
  <c r="AZ67" i="4" s="1"/>
  <c r="F53" i="4"/>
  <c r="C53" i="4"/>
  <c r="G53" i="4" s="1"/>
  <c r="S50" i="4"/>
  <c r="D50" i="4"/>
  <c r="BF51" i="4" s="1"/>
  <c r="B50" i="4"/>
  <c r="BD51" i="4" s="1"/>
  <c r="C49" i="4"/>
  <c r="S46" i="4"/>
  <c r="D46" i="4"/>
  <c r="BF47" i="4" s="1"/>
  <c r="C46" i="4"/>
  <c r="BE47" i="4" s="1"/>
  <c r="B46" i="4"/>
  <c r="BD47" i="4" s="1"/>
  <c r="I45" i="4"/>
  <c r="H45" i="4"/>
  <c r="AZ59" i="4" s="1"/>
  <c r="F45" i="4"/>
  <c r="C45" i="4"/>
  <c r="G45" i="4" s="1"/>
  <c r="S42" i="4"/>
  <c r="S38" i="4"/>
  <c r="D38" i="4"/>
  <c r="BF39" i="4" s="1"/>
  <c r="C38" i="4"/>
  <c r="BE39" i="4" s="1"/>
  <c r="B38" i="4"/>
  <c r="I37" i="4"/>
  <c r="H37" i="4"/>
  <c r="F37" i="4"/>
  <c r="C37" i="4"/>
  <c r="G37" i="4" s="1"/>
  <c r="S34" i="4"/>
  <c r="D34" i="4"/>
  <c r="BF35" i="4" s="1"/>
  <c r="C34" i="4"/>
  <c r="BE35" i="4" s="1"/>
  <c r="B34" i="4"/>
  <c r="BD35" i="4" s="1"/>
  <c r="I33" i="4"/>
  <c r="H33" i="4"/>
  <c r="F33" i="4"/>
  <c r="C33" i="4"/>
  <c r="G33" i="4" s="1"/>
  <c r="S30" i="4"/>
  <c r="D30" i="4"/>
  <c r="BF31" i="4" s="1"/>
  <c r="B30" i="4"/>
  <c r="BD31" i="4" s="1"/>
  <c r="I29" i="4"/>
  <c r="H29" i="4"/>
  <c r="F29" i="4"/>
  <c r="C29" i="4"/>
  <c r="C30" i="4" s="1"/>
  <c r="BE31" i="4" s="1"/>
  <c r="S26" i="4"/>
  <c r="D26" i="4"/>
  <c r="BF27" i="4" s="1"/>
  <c r="B26" i="4"/>
  <c r="BD27" i="4" s="1"/>
  <c r="I25" i="4"/>
  <c r="H25" i="4"/>
  <c r="F25" i="4"/>
  <c r="C25" i="4"/>
  <c r="U54" i="2"/>
  <c r="U50" i="2"/>
  <c r="U46" i="2"/>
  <c r="U42" i="2"/>
  <c r="U38" i="2"/>
  <c r="U34" i="2"/>
  <c r="U30" i="2"/>
  <c r="T51" i="13"/>
  <c r="T47" i="13"/>
  <c r="T43" i="13"/>
  <c r="T39" i="13"/>
  <c r="T35" i="13"/>
  <c r="T31" i="13"/>
  <c r="T27" i="13"/>
  <c r="AG52" i="13"/>
  <c r="B51" i="13"/>
  <c r="F50" i="13"/>
  <c r="AE52" i="13" s="1"/>
  <c r="D50" i="13"/>
  <c r="AG48" i="13"/>
  <c r="B47" i="13"/>
  <c r="F46" i="13"/>
  <c r="AE48" i="13" s="1"/>
  <c r="D46" i="13"/>
  <c r="AG44" i="13"/>
  <c r="B43" i="13"/>
  <c r="F42" i="13"/>
  <c r="AE44" i="13" s="1"/>
  <c r="D42" i="13"/>
  <c r="AG40" i="13"/>
  <c r="B39" i="13"/>
  <c r="F38" i="13"/>
  <c r="AD40" i="13" s="1"/>
  <c r="D38" i="13"/>
  <c r="AG36" i="13"/>
  <c r="B35" i="13"/>
  <c r="F34" i="13"/>
  <c r="AD36" i="13" s="1"/>
  <c r="D34" i="13"/>
  <c r="AG32" i="13"/>
  <c r="B31" i="13"/>
  <c r="F30" i="13"/>
  <c r="AD32" i="13" s="1"/>
  <c r="D30" i="13"/>
  <c r="AG28" i="13"/>
  <c r="B27" i="13"/>
  <c r="F26" i="13"/>
  <c r="AE28" i="13" s="1"/>
  <c r="D26" i="13"/>
  <c r="F22" i="13"/>
  <c r="D22" i="13"/>
  <c r="D22" i="5"/>
  <c r="AT24" i="5" s="1"/>
  <c r="AG52" i="14"/>
  <c r="AF52" i="14"/>
  <c r="AE52" i="14"/>
  <c r="AD52" i="14"/>
  <c r="T51" i="14"/>
  <c r="B51" i="14"/>
  <c r="D50" i="14"/>
  <c r="AG48" i="14"/>
  <c r="AF48" i="14"/>
  <c r="AE48" i="14"/>
  <c r="AD48" i="14"/>
  <c r="T47" i="14"/>
  <c r="B47" i="14"/>
  <c r="D46" i="14"/>
  <c r="AG44" i="14"/>
  <c r="AF44" i="14"/>
  <c r="AE44" i="14"/>
  <c r="AD44" i="14"/>
  <c r="T43" i="14"/>
  <c r="B43" i="14"/>
  <c r="D42" i="14"/>
  <c r="AG40" i="14"/>
  <c r="AF40" i="14"/>
  <c r="AE40" i="14"/>
  <c r="AD40" i="14"/>
  <c r="T39" i="14"/>
  <c r="B39" i="14"/>
  <c r="D38" i="14"/>
  <c r="U40" i="14" s="1"/>
  <c r="V40" i="14" s="1"/>
  <c r="D231" i="11" s="1"/>
  <c r="AG36" i="14"/>
  <c r="AF36" i="14"/>
  <c r="AE36" i="14"/>
  <c r="AD36" i="14"/>
  <c r="T35" i="14"/>
  <c r="B35" i="14"/>
  <c r="D34" i="14"/>
  <c r="AG32" i="14"/>
  <c r="AF32" i="14"/>
  <c r="AE32" i="14"/>
  <c r="AD32" i="14"/>
  <c r="T31" i="14"/>
  <c r="B31" i="14"/>
  <c r="D30" i="14"/>
  <c r="U32" i="14" s="1"/>
  <c r="V32" i="14" s="1"/>
  <c r="D229" i="11" s="1"/>
  <c r="AG28" i="14"/>
  <c r="AF28" i="14"/>
  <c r="AE28" i="14"/>
  <c r="AD28" i="14"/>
  <c r="T27" i="14"/>
  <c r="B27" i="14"/>
  <c r="D26" i="14"/>
  <c r="W28" i="14" s="1"/>
  <c r="X28" i="14" s="1"/>
  <c r="D22" i="14"/>
  <c r="W24" i="14" s="1"/>
  <c r="X24" i="14" s="1"/>
  <c r="AG52" i="5"/>
  <c r="AF52" i="5"/>
  <c r="AE52" i="5"/>
  <c r="AD52" i="5"/>
  <c r="W52" i="5"/>
  <c r="X52" i="5" s="1"/>
  <c r="T51" i="5"/>
  <c r="B51" i="5"/>
  <c r="AO52" i="5" s="1"/>
  <c r="D50" i="5"/>
  <c r="AT52" i="5" s="1"/>
  <c r="AG48" i="5"/>
  <c r="AF48" i="5"/>
  <c r="AE48" i="5"/>
  <c r="AD48" i="5"/>
  <c r="W48" i="5"/>
  <c r="X48" i="5" s="1"/>
  <c r="T47" i="5"/>
  <c r="B47" i="5"/>
  <c r="AO48" i="5" s="1"/>
  <c r="D46" i="5"/>
  <c r="AT48" i="5" s="1"/>
  <c r="AG44" i="5"/>
  <c r="AF44" i="5"/>
  <c r="AE44" i="5"/>
  <c r="AD44" i="5"/>
  <c r="W44" i="5"/>
  <c r="X44" i="5" s="1"/>
  <c r="T43" i="5"/>
  <c r="B43" i="5"/>
  <c r="D42" i="5"/>
  <c r="AG40" i="5"/>
  <c r="AF40" i="5"/>
  <c r="AE40" i="5"/>
  <c r="AD40" i="5"/>
  <c r="W40" i="5"/>
  <c r="X40" i="5" s="1"/>
  <c r="T39" i="5"/>
  <c r="B39" i="5"/>
  <c r="AQ40" i="5" s="1"/>
  <c r="D38" i="5"/>
  <c r="AT40" i="5" s="1"/>
  <c r="AG36" i="5"/>
  <c r="AF36" i="5"/>
  <c r="AE36" i="5"/>
  <c r="AD36" i="5"/>
  <c r="W36" i="5"/>
  <c r="X36" i="5" s="1"/>
  <c r="T35" i="5"/>
  <c r="B35" i="5"/>
  <c r="AQ36" i="5" s="1"/>
  <c r="D34" i="5"/>
  <c r="AT36" i="5" s="1"/>
  <c r="AG32" i="5"/>
  <c r="AF32" i="5"/>
  <c r="AE32" i="5"/>
  <c r="AD32" i="5"/>
  <c r="W32" i="5"/>
  <c r="X32" i="5" s="1"/>
  <c r="T31" i="5"/>
  <c r="B31" i="5"/>
  <c r="AR32" i="5" s="1"/>
  <c r="D30" i="5"/>
  <c r="AT32" i="5" s="1"/>
  <c r="AG28" i="5"/>
  <c r="AF28" i="5"/>
  <c r="AE28" i="5"/>
  <c r="AD28" i="5"/>
  <c r="W28" i="5"/>
  <c r="X28" i="5" s="1"/>
  <c r="T27" i="5"/>
  <c r="B27" i="5"/>
  <c r="AQ28" i="5" s="1"/>
  <c r="D26" i="5"/>
  <c r="AT28" i="5" s="1"/>
  <c r="L54" i="3"/>
  <c r="L50" i="3"/>
  <c r="L46" i="3"/>
  <c r="L42" i="3"/>
  <c r="L38" i="3"/>
  <c r="L34" i="3"/>
  <c r="L30" i="3"/>
  <c r="L26" i="3"/>
  <c r="Q54" i="1"/>
  <c r="D49" i="11" s="1"/>
  <c r="Q50" i="1"/>
  <c r="D48" i="11" s="1"/>
  <c r="Q46" i="1"/>
  <c r="D47" i="11" s="1"/>
  <c r="Q42" i="1"/>
  <c r="D46" i="11" s="1"/>
  <c r="Q38" i="1"/>
  <c r="D45" i="11" s="1"/>
  <c r="Q34" i="1"/>
  <c r="D44" i="11" s="1"/>
  <c r="Q30" i="1"/>
  <c r="D43" i="11" s="1"/>
  <c r="Q26" i="1"/>
  <c r="D42" i="11" s="1"/>
  <c r="P55" i="6"/>
  <c r="Q55" i="6" s="1"/>
  <c r="N55" i="6"/>
  <c r="O55" i="6" s="1"/>
  <c r="D18" i="11" s="1"/>
  <c r="M54" i="6"/>
  <c r="P51" i="6"/>
  <c r="Q51" i="6" s="1"/>
  <c r="N51" i="6"/>
  <c r="O51" i="6" s="1"/>
  <c r="D17" i="11" s="1"/>
  <c r="M50" i="6"/>
  <c r="P47" i="6"/>
  <c r="Q47" i="6" s="1"/>
  <c r="N47" i="6"/>
  <c r="O47" i="6" s="1"/>
  <c r="D16" i="11" s="1"/>
  <c r="M46" i="6"/>
  <c r="P43" i="6"/>
  <c r="Q43" i="6" s="1"/>
  <c r="N43" i="6"/>
  <c r="O43" i="6" s="1"/>
  <c r="D15" i="11" s="1"/>
  <c r="M42" i="6"/>
  <c r="P39" i="6"/>
  <c r="Q39" i="6" s="1"/>
  <c r="N39" i="6"/>
  <c r="O39" i="6" s="1"/>
  <c r="D14" i="11" s="1"/>
  <c r="M38" i="6"/>
  <c r="P35" i="6"/>
  <c r="Q35" i="6" s="1"/>
  <c r="N35" i="6"/>
  <c r="O35" i="6" s="1"/>
  <c r="D13" i="11" s="1"/>
  <c r="M34" i="6"/>
  <c r="P31" i="6"/>
  <c r="Q31" i="6" s="1"/>
  <c r="N31" i="6"/>
  <c r="O31" i="6" s="1"/>
  <c r="D12" i="11" s="1"/>
  <c r="M30" i="6"/>
  <c r="P27" i="6"/>
  <c r="Q27" i="6" s="1"/>
  <c r="N27" i="6"/>
  <c r="O27" i="6" s="1"/>
  <c r="D11" i="11" s="1"/>
  <c r="M26" i="6"/>
  <c r="AE55" i="2"/>
  <c r="K54" i="2"/>
  <c r="B54" i="2"/>
  <c r="AO55" i="2" s="1"/>
  <c r="J53" i="2"/>
  <c r="I53" i="2"/>
  <c r="G53" i="2"/>
  <c r="E53" i="2"/>
  <c r="F53" i="2" s="1"/>
  <c r="AG55" i="2" s="1"/>
  <c r="AE51" i="2"/>
  <c r="K50" i="2"/>
  <c r="B50" i="2"/>
  <c r="AO51" i="2" s="1"/>
  <c r="J49" i="2"/>
  <c r="I49" i="2"/>
  <c r="G49" i="2"/>
  <c r="E49" i="2"/>
  <c r="F49" i="2" s="1"/>
  <c r="AE47" i="2"/>
  <c r="K46" i="2"/>
  <c r="B46" i="2"/>
  <c r="AQ47" i="2" s="1"/>
  <c r="J45" i="2"/>
  <c r="I45" i="2"/>
  <c r="G45" i="2"/>
  <c r="H45" i="2" s="1"/>
  <c r="E45" i="2"/>
  <c r="F45" i="2" s="1"/>
  <c r="AG47" i="2" s="1"/>
  <c r="AE43" i="2"/>
  <c r="K42" i="2"/>
  <c r="B42" i="2"/>
  <c r="AO43" i="2" s="1"/>
  <c r="J41" i="2"/>
  <c r="I41" i="2"/>
  <c r="G41" i="2"/>
  <c r="H41" i="2" s="1"/>
  <c r="E41" i="2"/>
  <c r="F41" i="2" s="1"/>
  <c r="AG43" i="2" s="1"/>
  <c r="AE39" i="2"/>
  <c r="K38" i="2"/>
  <c r="B38" i="2"/>
  <c r="J37" i="2"/>
  <c r="I37" i="2"/>
  <c r="G37" i="2"/>
  <c r="E37" i="2"/>
  <c r="F37" i="2" s="1"/>
  <c r="AE35" i="2"/>
  <c r="K34" i="2"/>
  <c r="B34" i="2"/>
  <c r="J33" i="2"/>
  <c r="I33" i="2"/>
  <c r="G33" i="2"/>
  <c r="E33" i="2"/>
  <c r="F33" i="2" s="1"/>
  <c r="AG35" i="2" s="1"/>
  <c r="AE31" i="2"/>
  <c r="K30" i="2"/>
  <c r="J29" i="2"/>
  <c r="I29" i="2"/>
  <c r="G29" i="2"/>
  <c r="E29" i="2"/>
  <c r="F29" i="2" s="1"/>
  <c r="AG31" i="2" s="1"/>
  <c r="I25" i="2"/>
  <c r="J25" i="2"/>
  <c r="X55" i="3"/>
  <c r="V55" i="3"/>
  <c r="B54" i="3"/>
  <c r="H53" i="3"/>
  <c r="G53" i="3"/>
  <c r="F53" i="3"/>
  <c r="E53" i="3"/>
  <c r="W55" i="3" s="1"/>
  <c r="X51" i="3"/>
  <c r="V51" i="3"/>
  <c r="B50" i="3"/>
  <c r="H49" i="3"/>
  <c r="G49" i="3"/>
  <c r="F49" i="3"/>
  <c r="E49" i="3"/>
  <c r="X47" i="3"/>
  <c r="V47" i="3"/>
  <c r="B46" i="3"/>
  <c r="H45" i="3"/>
  <c r="G45" i="3"/>
  <c r="F45" i="3"/>
  <c r="E45" i="3"/>
  <c r="W47" i="3" s="1"/>
  <c r="X43" i="3"/>
  <c r="V43" i="3"/>
  <c r="B42" i="3"/>
  <c r="H41" i="3"/>
  <c r="G41" i="3"/>
  <c r="F41" i="3"/>
  <c r="E41" i="3"/>
  <c r="X39" i="3"/>
  <c r="V39" i="3"/>
  <c r="B38" i="3"/>
  <c r="H37" i="3"/>
  <c r="G37" i="3"/>
  <c r="F37" i="3"/>
  <c r="E37" i="3"/>
  <c r="X35" i="3"/>
  <c r="V35" i="3"/>
  <c r="B34" i="3"/>
  <c r="H33" i="3"/>
  <c r="G33" i="3"/>
  <c r="F33" i="3"/>
  <c r="E33" i="3"/>
  <c r="X31" i="3"/>
  <c r="V31" i="3"/>
  <c r="B30" i="3"/>
  <c r="H29" i="3"/>
  <c r="G29" i="3"/>
  <c r="F29" i="3"/>
  <c r="E29" i="3"/>
  <c r="D30" i="3" s="1"/>
  <c r="X27" i="3"/>
  <c r="V27" i="3"/>
  <c r="B26" i="3"/>
  <c r="H25" i="3"/>
  <c r="G25" i="3"/>
  <c r="F25" i="3"/>
  <c r="E25" i="3"/>
  <c r="Q22" i="1"/>
  <c r="D41" i="11" s="1"/>
  <c r="AE54" i="1"/>
  <c r="AH54" i="1" s="1"/>
  <c r="Z54" i="1"/>
  <c r="Y54" i="1"/>
  <c r="AE50" i="1"/>
  <c r="Z50" i="1"/>
  <c r="Y50" i="1"/>
  <c r="AE46" i="1"/>
  <c r="Z46" i="1"/>
  <c r="Y46" i="1"/>
  <c r="AE42" i="1"/>
  <c r="AH42" i="1" s="1"/>
  <c r="Z42" i="1"/>
  <c r="Y42" i="1"/>
  <c r="AE38" i="1"/>
  <c r="AH38" i="1" s="1"/>
  <c r="Z38" i="1"/>
  <c r="Y38" i="1"/>
  <c r="AE34" i="1"/>
  <c r="AH34" i="1" s="1"/>
  <c r="Z34" i="1"/>
  <c r="Y34" i="1"/>
  <c r="AE30" i="1"/>
  <c r="AH30" i="1" s="1"/>
  <c r="Z30" i="1"/>
  <c r="Y30" i="1"/>
  <c r="AE26" i="1"/>
  <c r="AH26" i="1" s="1"/>
  <c r="Z26" i="1"/>
  <c r="Y26" i="1"/>
  <c r="J53" i="1"/>
  <c r="D53" i="1"/>
  <c r="B53" i="1"/>
  <c r="H52" i="1"/>
  <c r="I52" i="1" s="1"/>
  <c r="F52" i="1"/>
  <c r="J49" i="1"/>
  <c r="D49" i="1"/>
  <c r="AR50" i="1" s="1"/>
  <c r="B49" i="1"/>
  <c r="AO50" i="1" s="1"/>
  <c r="H48" i="1"/>
  <c r="I48" i="1" s="1"/>
  <c r="F48" i="1"/>
  <c r="G48" i="1" s="1"/>
  <c r="J45" i="1"/>
  <c r="D45" i="1"/>
  <c r="B45" i="1"/>
  <c r="AQ46" i="1" s="1"/>
  <c r="H44" i="1"/>
  <c r="I44" i="1" s="1"/>
  <c r="F44" i="1"/>
  <c r="J41" i="1"/>
  <c r="D41" i="1"/>
  <c r="B41" i="1"/>
  <c r="AQ42" i="1" s="1"/>
  <c r="H40" i="1"/>
  <c r="I40" i="1" s="1"/>
  <c r="F40" i="1"/>
  <c r="J37" i="1"/>
  <c r="D37" i="1"/>
  <c r="AL38" i="1" s="1"/>
  <c r="B37" i="1"/>
  <c r="H36" i="1"/>
  <c r="I36" i="1" s="1"/>
  <c r="F36" i="1"/>
  <c r="J33" i="1"/>
  <c r="D33" i="1"/>
  <c r="B33" i="1"/>
  <c r="H32" i="1"/>
  <c r="I32" i="1" s="1"/>
  <c r="F32" i="1"/>
  <c r="J29" i="1"/>
  <c r="D29" i="1"/>
  <c r="B29" i="1"/>
  <c r="H28" i="1"/>
  <c r="I28" i="1" s="1"/>
  <c r="F28" i="1"/>
  <c r="J25" i="1"/>
  <c r="D25" i="1"/>
  <c r="B25" i="1"/>
  <c r="H24" i="1"/>
  <c r="I24" i="1" s="1"/>
  <c r="F24" i="1"/>
  <c r="F20" i="1"/>
  <c r="G20" i="1" s="1"/>
  <c r="H20" i="1"/>
  <c r="I20" i="1" s="1"/>
  <c r="B21" i="1"/>
  <c r="D21" i="1"/>
  <c r="J21" i="1"/>
  <c r="Z55" i="6"/>
  <c r="Z51" i="6"/>
  <c r="Z47" i="6"/>
  <c r="Z43" i="6"/>
  <c r="Z39" i="6"/>
  <c r="Z35" i="6"/>
  <c r="Z31" i="6"/>
  <c r="Z27" i="6"/>
  <c r="N23" i="6"/>
  <c r="O23" i="6" s="1"/>
  <c r="D10" i="11" s="1"/>
  <c r="D19" i="7"/>
  <c r="I4" i="14" s="1"/>
  <c r="AG24" i="14"/>
  <c r="AF24" i="14"/>
  <c r="AE24" i="14"/>
  <c r="AD24" i="14"/>
  <c r="T23" i="14"/>
  <c r="B23" i="14"/>
  <c r="T3" i="14"/>
  <c r="T2" i="14"/>
  <c r="T1" i="14" l="1"/>
  <c r="A226" i="11"/>
  <c r="AA2" i="20"/>
  <c r="F27" i="14"/>
  <c r="B228" i="11" s="1"/>
  <c r="AH44" i="14"/>
  <c r="AK44" i="14" s="1"/>
  <c r="AV44" i="14"/>
  <c r="AH40" i="14"/>
  <c r="AK40" i="14" s="1"/>
  <c r="AV40" i="14"/>
  <c r="F51" i="14"/>
  <c r="B234" i="11" s="1"/>
  <c r="AH32" i="14"/>
  <c r="AK32" i="14" s="1"/>
  <c r="AV32" i="14"/>
  <c r="F43" i="14"/>
  <c r="B232" i="11" s="1"/>
  <c r="AH28" i="14"/>
  <c r="AI28" i="14" s="1"/>
  <c r="Y28" i="14" s="1"/>
  <c r="AV28" i="14"/>
  <c r="F39" i="14"/>
  <c r="B231" i="11" s="1"/>
  <c r="AH36" i="14"/>
  <c r="AK36" i="14" s="1"/>
  <c r="AV36" i="14"/>
  <c r="AH52" i="14"/>
  <c r="AK52" i="14" s="1"/>
  <c r="AV52" i="14"/>
  <c r="AH48" i="14"/>
  <c r="AI48" i="14" s="1"/>
  <c r="AV48" i="14"/>
  <c r="AH32" i="13"/>
  <c r="AI32" i="13" s="1"/>
  <c r="AV32" i="13"/>
  <c r="AH40" i="13"/>
  <c r="AK40" i="13" s="1"/>
  <c r="AV40" i="13"/>
  <c r="AH48" i="13"/>
  <c r="AK48" i="13" s="1"/>
  <c r="AV48" i="13"/>
  <c r="AH28" i="13"/>
  <c r="AK28" i="13" s="1"/>
  <c r="AV28" i="13"/>
  <c r="AH36" i="13"/>
  <c r="AK36" i="13" s="1"/>
  <c r="AV36" i="13"/>
  <c r="AH44" i="13"/>
  <c r="AI44" i="13" s="1"/>
  <c r="AV44" i="13"/>
  <c r="AH52" i="13"/>
  <c r="AK52" i="13" s="1"/>
  <c r="AV52" i="13"/>
  <c r="U52" i="5"/>
  <c r="V52" i="5" s="1"/>
  <c r="D172" i="11" s="1"/>
  <c r="AH28" i="5"/>
  <c r="AK28" i="5" s="1"/>
  <c r="AL28" i="5" s="1"/>
  <c r="AV28" i="5"/>
  <c r="AH32" i="5"/>
  <c r="AK32" i="5" s="1"/>
  <c r="AL32" i="5" s="1"/>
  <c r="AV32" i="5"/>
  <c r="AH36" i="5"/>
  <c r="AK36" i="5" s="1"/>
  <c r="AL36" i="5" s="1"/>
  <c r="AV36" i="5"/>
  <c r="AH40" i="5"/>
  <c r="AK40" i="5" s="1"/>
  <c r="AL40" i="5" s="1"/>
  <c r="AV40" i="5"/>
  <c r="AH44" i="5"/>
  <c r="AV44" i="5"/>
  <c r="AH48" i="5"/>
  <c r="AI48" i="5" s="1"/>
  <c r="Y48" i="5" s="1"/>
  <c r="AV48" i="5"/>
  <c r="U44" i="5"/>
  <c r="V44" i="5" s="1"/>
  <c r="D170" i="11" s="1"/>
  <c r="AT44" i="5"/>
  <c r="AH52" i="5"/>
  <c r="AK52" i="5" s="1"/>
  <c r="AL52" i="5" s="1"/>
  <c r="AV52" i="5"/>
  <c r="AI55" i="2"/>
  <c r="AL55" i="2" s="1"/>
  <c r="AW55" i="2"/>
  <c r="AW54" i="2"/>
  <c r="AI51" i="2"/>
  <c r="AJ51" i="2" s="1"/>
  <c r="AW50" i="2"/>
  <c r="AW51" i="2"/>
  <c r="AI47" i="2"/>
  <c r="AL47" i="2" s="1"/>
  <c r="AW47" i="2"/>
  <c r="AW46" i="2"/>
  <c r="AI43" i="2"/>
  <c r="AL43" i="2" s="1"/>
  <c r="AW43" i="2"/>
  <c r="AW42" i="2"/>
  <c r="AI39" i="2"/>
  <c r="AJ39" i="2" s="1"/>
  <c r="AW38" i="2"/>
  <c r="AW39" i="2"/>
  <c r="AI35" i="2"/>
  <c r="AL35" i="2" s="1"/>
  <c r="AW34" i="2"/>
  <c r="AW35" i="2"/>
  <c r="G40" i="1"/>
  <c r="AC42" i="1" s="1"/>
  <c r="AR140" i="6"/>
  <c r="O12" i="15" s="1"/>
  <c r="AA43" i="6"/>
  <c r="AF43" i="6" s="1"/>
  <c r="AG43" i="6" s="1"/>
  <c r="AU43" i="6"/>
  <c r="AU42" i="6"/>
  <c r="AA55" i="6"/>
  <c r="AD55" i="6" s="1"/>
  <c r="AU55" i="6"/>
  <c r="AU54" i="6"/>
  <c r="AA47" i="6"/>
  <c r="AD47" i="6" s="1"/>
  <c r="AU46" i="6"/>
  <c r="AU47" i="6"/>
  <c r="AA51" i="6"/>
  <c r="AF51" i="6" s="1"/>
  <c r="AG51" i="6" s="1"/>
  <c r="AU51" i="6"/>
  <c r="AU50" i="6"/>
  <c r="AA35" i="6"/>
  <c r="AF35" i="6" s="1"/>
  <c r="AG35" i="6" s="1"/>
  <c r="AU35" i="6"/>
  <c r="AU34" i="6"/>
  <c r="AA31" i="6"/>
  <c r="AB31" i="6" s="1"/>
  <c r="X31" i="6" s="1"/>
  <c r="R31" i="6" s="1"/>
  <c r="AU30" i="6"/>
  <c r="AU31" i="6"/>
  <c r="AA39" i="6"/>
  <c r="AF39" i="6" s="1"/>
  <c r="AG39" i="6" s="1"/>
  <c r="AU38" i="6"/>
  <c r="AU39" i="6"/>
  <c r="AU22" i="6"/>
  <c r="AT142" i="6" s="1"/>
  <c r="AU23" i="6"/>
  <c r="AI31" i="2"/>
  <c r="AL31" i="2" s="1"/>
  <c r="AW31" i="2"/>
  <c r="AW30" i="2"/>
  <c r="AA27" i="6"/>
  <c r="AD27" i="6" s="1"/>
  <c r="AU26" i="6"/>
  <c r="AU27" i="6"/>
  <c r="AZ46" i="1"/>
  <c r="AP46" i="1"/>
  <c r="AN46" i="1"/>
  <c r="AR39" i="2"/>
  <c r="AP39" i="2"/>
  <c r="AO39" i="2"/>
  <c r="AY39" i="2"/>
  <c r="AP44" i="5"/>
  <c r="AX44" i="5"/>
  <c r="BL55" i="4"/>
  <c r="BI55" i="4"/>
  <c r="AR32" i="14"/>
  <c r="AO32" i="14"/>
  <c r="AX32" i="14"/>
  <c r="AQ32" i="14"/>
  <c r="AP32" i="14"/>
  <c r="BD39" i="4"/>
  <c r="E38" i="4"/>
  <c r="B138" i="11" s="1"/>
  <c r="AY31" i="2"/>
  <c r="AP31" i="2"/>
  <c r="AR51" i="2"/>
  <c r="AO32" i="5"/>
  <c r="AR40" i="5"/>
  <c r="AO40" i="5"/>
  <c r="AX52" i="5"/>
  <c r="AP52" i="5"/>
  <c r="AX36" i="14"/>
  <c r="AR36" i="14"/>
  <c r="AP36" i="14"/>
  <c r="AO36" i="14"/>
  <c r="AQ36" i="14"/>
  <c r="AK54" i="1"/>
  <c r="AY54" i="1"/>
  <c r="AL55" i="3"/>
  <c r="AJ55" i="3"/>
  <c r="AQ55" i="3"/>
  <c r="AH55" i="3"/>
  <c r="AF55" i="3"/>
  <c r="BK35" i="4"/>
  <c r="BH35" i="4"/>
  <c r="BJ47" i="4"/>
  <c r="BG47" i="4"/>
  <c r="AO47" i="2"/>
  <c r="AQ51" i="2"/>
  <c r="AR43" i="2"/>
  <c r="AR55" i="2"/>
  <c r="AQ55" i="2"/>
  <c r="AK26" i="1"/>
  <c r="AY26" i="1"/>
  <c r="AK34" i="1"/>
  <c r="AY34" i="1"/>
  <c r="AL31" i="3"/>
  <c r="AJ31" i="3"/>
  <c r="AH31" i="3"/>
  <c r="AF31" i="3"/>
  <c r="AX28" i="5"/>
  <c r="AR28" i="5"/>
  <c r="AP28" i="5"/>
  <c r="AP32" i="5"/>
  <c r="AX32" i="5"/>
  <c r="AX36" i="5"/>
  <c r="AR36" i="5"/>
  <c r="AP36" i="5"/>
  <c r="AX40" i="5"/>
  <c r="AP40" i="5"/>
  <c r="AX48" i="5"/>
  <c r="AR48" i="5"/>
  <c r="AP48" i="5"/>
  <c r="BI51" i="4"/>
  <c r="BL51" i="4"/>
  <c r="AN34" i="1"/>
  <c r="AM34" i="1"/>
  <c r="AL34" i="1"/>
  <c r="AZ34" i="1"/>
  <c r="AL27" i="3"/>
  <c r="AJ27" i="3"/>
  <c r="AQ27" i="3"/>
  <c r="AH27" i="3"/>
  <c r="AF27" i="3"/>
  <c r="AP35" i="2"/>
  <c r="AY35" i="2"/>
  <c r="BJ35" i="4"/>
  <c r="BG35" i="4"/>
  <c r="AY42" i="1"/>
  <c r="AK42" i="1"/>
  <c r="AL54" i="1"/>
  <c r="AZ54" i="1"/>
  <c r="AN54" i="1"/>
  <c r="AM54" i="1"/>
  <c r="AX28" i="14"/>
  <c r="AQ28" i="14"/>
  <c r="AR28" i="14"/>
  <c r="AP28" i="14"/>
  <c r="AO28" i="14"/>
  <c r="BJ31" i="4"/>
  <c r="BG31" i="4"/>
  <c r="BK39" i="4"/>
  <c r="BH39" i="4"/>
  <c r="AK30" i="1"/>
  <c r="AY30" i="1"/>
  <c r="AO30" i="1"/>
  <c r="AZ42" i="1"/>
  <c r="AL42" i="1"/>
  <c r="AL51" i="3"/>
  <c r="AQ51" i="3"/>
  <c r="AJ51" i="3"/>
  <c r="AH51" i="3"/>
  <c r="AF51" i="3"/>
  <c r="AO32" i="13"/>
  <c r="AX32" i="13"/>
  <c r="AQ32" i="13"/>
  <c r="AP32" i="13"/>
  <c r="AR32" i="13"/>
  <c r="AX40" i="13"/>
  <c r="AO40" i="13"/>
  <c r="AP40" i="13"/>
  <c r="AQ40" i="13"/>
  <c r="AR40" i="13"/>
  <c r="AX48" i="13"/>
  <c r="AP48" i="13"/>
  <c r="AR48" i="13"/>
  <c r="AO48" i="13"/>
  <c r="AQ48" i="13"/>
  <c r="BJ27" i="4"/>
  <c r="BG27" i="4"/>
  <c r="BL31" i="4"/>
  <c r="BI31" i="4"/>
  <c r="BL35" i="4"/>
  <c r="BI35" i="4"/>
  <c r="BL39" i="4"/>
  <c r="BI39" i="4"/>
  <c r="BK47" i="4"/>
  <c r="BH47" i="4"/>
  <c r="AQ34" i="1"/>
  <c r="AQ35" i="2"/>
  <c r="AR54" i="1"/>
  <c r="AQ39" i="2"/>
  <c r="AR31" i="2"/>
  <c r="AO36" i="5"/>
  <c r="AP47" i="2"/>
  <c r="AZ30" i="1"/>
  <c r="AN30" i="1"/>
  <c r="AM30" i="1"/>
  <c r="AL30" i="1"/>
  <c r="AK50" i="1"/>
  <c r="AY50" i="1"/>
  <c r="AK31" i="3"/>
  <c r="AI31" i="3"/>
  <c r="AG31" i="3"/>
  <c r="AM31" i="3"/>
  <c r="AX52" i="14"/>
  <c r="AR52" i="14"/>
  <c r="AP52" i="14"/>
  <c r="AQ52" i="14"/>
  <c r="AO52" i="14"/>
  <c r="BL27" i="4"/>
  <c r="BI27" i="4"/>
  <c r="BL47" i="4"/>
  <c r="BI47" i="4"/>
  <c r="F31" i="14"/>
  <c r="B229" i="11" s="1"/>
  <c r="AO42" i="1"/>
  <c r="AQ54" i="1"/>
  <c r="AM46" i="1"/>
  <c r="AL46" i="1"/>
  <c r="AO35" i="2"/>
  <c r="AQ43" i="2"/>
  <c r="AL39" i="3"/>
  <c r="AJ39" i="3"/>
  <c r="AQ39" i="3"/>
  <c r="AH39" i="3"/>
  <c r="AF39" i="3"/>
  <c r="AQ47" i="3"/>
  <c r="AL47" i="3"/>
  <c r="AJ47" i="3"/>
  <c r="AH47" i="3"/>
  <c r="AF47" i="3"/>
  <c r="AY55" i="2"/>
  <c r="AP55" i="2"/>
  <c r="AK38" i="1"/>
  <c r="AY38" i="1"/>
  <c r="AO38" i="1"/>
  <c r="AN50" i="1"/>
  <c r="AM50" i="1"/>
  <c r="AL50" i="1"/>
  <c r="AZ50" i="1"/>
  <c r="AL43" i="3"/>
  <c r="AJ43" i="3"/>
  <c r="AH43" i="3"/>
  <c r="AQ43" i="3"/>
  <c r="AF43" i="3"/>
  <c r="AP51" i="2"/>
  <c r="AY51" i="2"/>
  <c r="AR48" i="14"/>
  <c r="AO48" i="14"/>
  <c r="AX48" i="14"/>
  <c r="AP48" i="14"/>
  <c r="AQ48" i="14"/>
  <c r="F35" i="14"/>
  <c r="B230" i="11" s="1"/>
  <c r="AQ26" i="1"/>
  <c r="AM42" i="1"/>
  <c r="AP42" i="1"/>
  <c r="AN42" i="1"/>
  <c r="AP54" i="1"/>
  <c r="AQ31" i="2"/>
  <c r="AR46" i="1"/>
  <c r="AR35" i="2"/>
  <c r="AX44" i="14"/>
  <c r="AR44" i="14"/>
  <c r="AO44" i="14"/>
  <c r="AQ44" i="14"/>
  <c r="AP44" i="14"/>
  <c r="BK31" i="4"/>
  <c r="BH31" i="4"/>
  <c r="BJ55" i="4"/>
  <c r="BG55" i="4"/>
  <c r="AO34" i="1"/>
  <c r="AQ44" i="5"/>
  <c r="AR30" i="1"/>
  <c r="AR38" i="1"/>
  <c r="AP38" i="1"/>
  <c r="AN38" i="1"/>
  <c r="AP50" i="1"/>
  <c r="AO31" i="2"/>
  <c r="AM38" i="1"/>
  <c r="AZ38" i="1"/>
  <c r="AY47" i="2"/>
  <c r="AR47" i="2"/>
  <c r="AP26" i="1"/>
  <c r="AN26" i="1"/>
  <c r="AM26" i="1"/>
  <c r="AZ26" i="1"/>
  <c r="AY46" i="1"/>
  <c r="AK46" i="1"/>
  <c r="AL35" i="3"/>
  <c r="AQ35" i="3"/>
  <c r="AJ35" i="3"/>
  <c r="AH35" i="3"/>
  <c r="AF35" i="3"/>
  <c r="AY43" i="2"/>
  <c r="AP43" i="2"/>
  <c r="F31" i="5"/>
  <c r="B167" i="11" s="1"/>
  <c r="F35" i="5"/>
  <c r="B168" i="11" s="1"/>
  <c r="F39" i="5"/>
  <c r="B169" i="11" s="1"/>
  <c r="F47" i="5"/>
  <c r="B171" i="11" s="1"/>
  <c r="F51" i="5"/>
  <c r="B172" i="11" s="1"/>
  <c r="AX40" i="14"/>
  <c r="AP40" i="14"/>
  <c r="AO40" i="14"/>
  <c r="AQ40" i="14"/>
  <c r="AR40" i="14"/>
  <c r="AO28" i="13"/>
  <c r="AX28" i="13"/>
  <c r="AQ28" i="13"/>
  <c r="AR28" i="13"/>
  <c r="AP28" i="13"/>
  <c r="AX36" i="13"/>
  <c r="AR36" i="13"/>
  <c r="AQ36" i="13"/>
  <c r="AO36" i="13"/>
  <c r="AP36" i="13"/>
  <c r="AO44" i="13"/>
  <c r="AX44" i="13"/>
  <c r="AQ44" i="13"/>
  <c r="AP44" i="13"/>
  <c r="AR44" i="13"/>
  <c r="AX52" i="13"/>
  <c r="AP52" i="13"/>
  <c r="AR52" i="13"/>
  <c r="AO52" i="13"/>
  <c r="AQ52" i="13"/>
  <c r="BJ51" i="4"/>
  <c r="BG51" i="4"/>
  <c r="BK55" i="4"/>
  <c r="BH55" i="4"/>
  <c r="AQ38" i="1"/>
  <c r="AO54" i="1"/>
  <c r="AQ32" i="5"/>
  <c r="AP30" i="1"/>
  <c r="AR52" i="5"/>
  <c r="AR26" i="1"/>
  <c r="AR34" i="1"/>
  <c r="AP34" i="1"/>
  <c r="AL26" i="1"/>
  <c r="AO46" i="1"/>
  <c r="F47" i="14"/>
  <c r="B233" i="11" s="1"/>
  <c r="AQ30" i="1"/>
  <c r="AQ50" i="1"/>
  <c r="AO28" i="5"/>
  <c r="AO44" i="5"/>
  <c r="AQ48" i="5"/>
  <c r="AQ52" i="5"/>
  <c r="AO26" i="1"/>
  <c r="AR44" i="5"/>
  <c r="AR42" i="1"/>
  <c r="AN22" i="1"/>
  <c r="AR22" i="1"/>
  <c r="AP22" i="1"/>
  <c r="AM22" i="1"/>
  <c r="AZ22" i="1"/>
  <c r="AL22" i="1"/>
  <c r="AY22" i="1"/>
  <c r="BA22" i="1" s="1"/>
  <c r="AO22" i="1"/>
  <c r="AK22" i="1"/>
  <c r="AQ22" i="1"/>
  <c r="AX51" i="4"/>
  <c r="AR51" i="4"/>
  <c r="AO51" i="4"/>
  <c r="AU51" i="4"/>
  <c r="AV47" i="4"/>
  <c r="AM47" i="4"/>
  <c r="AS47" i="4"/>
  <c r="AP47" i="4"/>
  <c r="AZ47" i="4"/>
  <c r="AZ39" i="4"/>
  <c r="AV35" i="4"/>
  <c r="AS35" i="4"/>
  <c r="AP35" i="4"/>
  <c r="AM35" i="4"/>
  <c r="AS39" i="4"/>
  <c r="AP39" i="4"/>
  <c r="AV39" i="4"/>
  <c r="AM39" i="4"/>
  <c r="AM43" i="4"/>
  <c r="AV43" i="4"/>
  <c r="AP43" i="4"/>
  <c r="AS43" i="4"/>
  <c r="AN47" i="4"/>
  <c r="AW47" i="4"/>
  <c r="AT47" i="4"/>
  <c r="AQ47" i="4"/>
  <c r="AO27" i="4"/>
  <c r="AX27" i="4"/>
  <c r="AU27" i="4"/>
  <c r="AR27" i="4"/>
  <c r="AV31" i="4"/>
  <c r="AP31" i="4"/>
  <c r="AM31" i="4"/>
  <c r="AS31" i="4"/>
  <c r="AT35" i="4"/>
  <c r="AQ35" i="4"/>
  <c r="AW35" i="4"/>
  <c r="AN35" i="4"/>
  <c r="AT39" i="4"/>
  <c r="AN39" i="4"/>
  <c r="AQ39" i="4"/>
  <c r="AW39" i="4"/>
  <c r="AR43" i="4"/>
  <c r="AU43" i="4"/>
  <c r="AO43" i="4"/>
  <c r="AX43" i="4"/>
  <c r="AR47" i="4"/>
  <c r="AO47" i="4"/>
  <c r="AU47" i="4"/>
  <c r="AX47" i="4"/>
  <c r="AT31" i="4"/>
  <c r="AN31" i="4"/>
  <c r="AQ31" i="4"/>
  <c r="AW31" i="4"/>
  <c r="AP27" i="4"/>
  <c r="AM27" i="4"/>
  <c r="AV27" i="4"/>
  <c r="AS27" i="4"/>
  <c r="AO31" i="4"/>
  <c r="AR31" i="4"/>
  <c r="AU31" i="4"/>
  <c r="AX31" i="4"/>
  <c r="AX35" i="4"/>
  <c r="AO35" i="4"/>
  <c r="AR35" i="4"/>
  <c r="AU35" i="4"/>
  <c r="AX39" i="4"/>
  <c r="AR39" i="4"/>
  <c r="AU39" i="4"/>
  <c r="AO39" i="4"/>
  <c r="AV51" i="4"/>
  <c r="AS51" i="4"/>
  <c r="AM51" i="4"/>
  <c r="AP51" i="4"/>
  <c r="AZ55" i="4"/>
  <c r="AX55" i="4"/>
  <c r="AR55" i="4"/>
  <c r="AO55" i="4"/>
  <c r="AU55" i="4"/>
  <c r="AV55" i="4"/>
  <c r="AM55" i="4"/>
  <c r="AS55" i="4"/>
  <c r="AP55" i="4"/>
  <c r="AT55" i="4"/>
  <c r="AQ55" i="4"/>
  <c r="AN55" i="4"/>
  <c r="AW55" i="4"/>
  <c r="F23" i="14"/>
  <c r="B227" i="11" s="1"/>
  <c r="AX24" i="14"/>
  <c r="AP24" i="14"/>
  <c r="AO24" i="14"/>
  <c r="AR24" i="14"/>
  <c r="AQ24" i="14"/>
  <c r="AH24" i="14"/>
  <c r="AK24" i="14" s="1"/>
  <c r="AL24" i="14" s="1"/>
  <c r="AV24" i="14"/>
  <c r="D46" i="2"/>
  <c r="B108" i="11" s="1"/>
  <c r="AR31" i="3"/>
  <c r="AQ31" i="3"/>
  <c r="O43" i="3"/>
  <c r="P43" i="3" s="1"/>
  <c r="BA23" i="6"/>
  <c r="AZ23" i="6"/>
  <c r="BB23" i="6"/>
  <c r="AL23" i="6"/>
  <c r="D55" i="6"/>
  <c r="F49" i="1"/>
  <c r="B48" i="11" s="1"/>
  <c r="F21" i="1"/>
  <c r="B41" i="11" s="1"/>
  <c r="E22" i="1"/>
  <c r="T47" i="4"/>
  <c r="U47" i="4" s="1"/>
  <c r="D140" i="11" s="1"/>
  <c r="W40" i="14"/>
  <c r="X40" i="14" s="1"/>
  <c r="AE40" i="13"/>
  <c r="E38" i="13" s="1"/>
  <c r="AD44" i="13"/>
  <c r="F27" i="5"/>
  <c r="B166" i="11" s="1"/>
  <c r="U48" i="5"/>
  <c r="V48" i="5" s="1"/>
  <c r="D171" i="11" s="1"/>
  <c r="F43" i="5"/>
  <c r="B170" i="11" s="1"/>
  <c r="V39" i="4"/>
  <c r="W39" i="4" s="1"/>
  <c r="G49" i="4"/>
  <c r="V51" i="4" s="1"/>
  <c r="W51" i="4" s="1"/>
  <c r="E46" i="4"/>
  <c r="B140" i="11" s="1"/>
  <c r="E34" i="4"/>
  <c r="B137" i="11" s="1"/>
  <c r="E54" i="4"/>
  <c r="B142" i="11" s="1"/>
  <c r="D42" i="2"/>
  <c r="B107" i="11" s="1"/>
  <c r="M55" i="3"/>
  <c r="N55" i="3" s="1"/>
  <c r="D80" i="11" s="1"/>
  <c r="M39" i="3"/>
  <c r="N39" i="3" s="1"/>
  <c r="D76" i="11" s="1"/>
  <c r="M51" i="3"/>
  <c r="N51" i="3" s="1"/>
  <c r="D79" i="11" s="1"/>
  <c r="O31" i="3"/>
  <c r="P31" i="3" s="1"/>
  <c r="M47" i="3"/>
  <c r="N47" i="3" s="1"/>
  <c r="D78" i="11" s="1"/>
  <c r="O55" i="3"/>
  <c r="P55" i="3" s="1"/>
  <c r="O35" i="3"/>
  <c r="P35" i="3" s="1"/>
  <c r="O51" i="3"/>
  <c r="P51" i="3" s="1"/>
  <c r="O47" i="3"/>
  <c r="P47" i="3" s="1"/>
  <c r="F30" i="3"/>
  <c r="B74" i="11" s="1"/>
  <c r="W39" i="3"/>
  <c r="M43" i="3"/>
  <c r="N43" i="3" s="1"/>
  <c r="D77" i="11" s="1"/>
  <c r="O39" i="3"/>
  <c r="P39" i="3" s="1"/>
  <c r="O27" i="3"/>
  <c r="P27" i="3" s="1"/>
  <c r="M31" i="3"/>
  <c r="N31" i="3" s="1"/>
  <c r="D74" i="11" s="1"/>
  <c r="M35" i="3"/>
  <c r="N35" i="3" s="1"/>
  <c r="D75" i="11" s="1"/>
  <c r="M27" i="3"/>
  <c r="N27" i="3" s="1"/>
  <c r="D73" i="11" s="1"/>
  <c r="V35" i="4"/>
  <c r="W35" i="4" s="1"/>
  <c r="V47" i="4"/>
  <c r="W47" i="4" s="1"/>
  <c r="V55" i="4"/>
  <c r="W55" i="4" s="1"/>
  <c r="T55" i="4"/>
  <c r="U55" i="4" s="1"/>
  <c r="D142" i="11" s="1"/>
  <c r="C50" i="4"/>
  <c r="BE51" i="4" s="1"/>
  <c r="AZ43" i="4"/>
  <c r="T39" i="4"/>
  <c r="U39" i="4" s="1"/>
  <c r="D138" i="11" s="1"/>
  <c r="T35" i="4"/>
  <c r="U35" i="4" s="1"/>
  <c r="D137" i="11" s="1"/>
  <c r="G29" i="4"/>
  <c r="G25" i="4"/>
  <c r="AZ27" i="4" s="1"/>
  <c r="C26" i="4"/>
  <c r="BE27" i="4" s="1"/>
  <c r="AD52" i="13"/>
  <c r="AD48" i="13"/>
  <c r="AE36" i="13"/>
  <c r="E34" i="13" s="1"/>
  <c r="AT36" i="13" s="1"/>
  <c r="AE32" i="13"/>
  <c r="E30" i="13" s="1"/>
  <c r="AD28" i="13"/>
  <c r="E50" i="13"/>
  <c r="AT52" i="13" s="1"/>
  <c r="E46" i="13"/>
  <c r="AT48" i="13" s="1"/>
  <c r="E42" i="13"/>
  <c r="AT44" i="13" s="1"/>
  <c r="E26" i="13"/>
  <c r="U52" i="14"/>
  <c r="V52" i="14" s="1"/>
  <c r="D234" i="11" s="1"/>
  <c r="U44" i="14"/>
  <c r="V44" i="14" s="1"/>
  <c r="D232" i="11" s="1"/>
  <c r="U36" i="14"/>
  <c r="V36" i="14" s="1"/>
  <c r="D230" i="11" s="1"/>
  <c r="U28" i="14"/>
  <c r="V28" i="14" s="1"/>
  <c r="D228" i="11" s="1"/>
  <c r="W52" i="14"/>
  <c r="X52" i="14" s="1"/>
  <c r="U48" i="14"/>
  <c r="V48" i="14" s="1"/>
  <c r="D233" i="11" s="1"/>
  <c r="W48" i="14"/>
  <c r="X48" i="14" s="1"/>
  <c r="W44" i="14"/>
  <c r="X44" i="14" s="1"/>
  <c r="D40" i="14"/>
  <c r="W36" i="14"/>
  <c r="X36" i="14" s="1"/>
  <c r="D32" i="14"/>
  <c r="W32" i="14"/>
  <c r="X32" i="14" s="1"/>
  <c r="U24" i="14"/>
  <c r="V24" i="14" s="1"/>
  <c r="D227" i="11" s="1"/>
  <c r="U28" i="5"/>
  <c r="V28" i="5" s="1"/>
  <c r="D166" i="11" s="1"/>
  <c r="U32" i="5"/>
  <c r="V32" i="5" s="1"/>
  <c r="D167" i="11" s="1"/>
  <c r="U36" i="5"/>
  <c r="V36" i="5" s="1"/>
  <c r="D168" i="11" s="1"/>
  <c r="U40" i="5"/>
  <c r="V40" i="5" s="1"/>
  <c r="D169" i="11" s="1"/>
  <c r="AK44" i="5"/>
  <c r="AL44" i="5" s="1"/>
  <c r="AI44" i="5"/>
  <c r="Y44" i="5" s="1"/>
  <c r="AI28" i="5"/>
  <c r="Y28" i="5" s="1"/>
  <c r="H53" i="2"/>
  <c r="AH55" i="2" s="1"/>
  <c r="AF55" i="2" s="1"/>
  <c r="AG51" i="2"/>
  <c r="H49" i="2"/>
  <c r="D50" i="2" s="1"/>
  <c r="B109" i="11" s="1"/>
  <c r="AH47" i="2"/>
  <c r="AF47" i="2" s="1"/>
  <c r="AH43" i="2"/>
  <c r="AF43" i="2" s="1"/>
  <c r="AG39" i="2"/>
  <c r="AL39" i="2"/>
  <c r="H37" i="2"/>
  <c r="AH39" i="2" s="1"/>
  <c r="H33" i="2"/>
  <c r="AH35" i="2" s="1"/>
  <c r="AF35" i="2" s="1"/>
  <c r="H29" i="2"/>
  <c r="AH31" i="2" s="1"/>
  <c r="AF31" i="2" s="1"/>
  <c r="Y55" i="3"/>
  <c r="D54" i="3"/>
  <c r="Y51" i="3"/>
  <c r="W51" i="3"/>
  <c r="D50" i="3"/>
  <c r="Y47" i="3"/>
  <c r="D46" i="3"/>
  <c r="W43" i="3"/>
  <c r="Y43" i="3"/>
  <c r="D42" i="3"/>
  <c r="Y39" i="3"/>
  <c r="D38" i="3"/>
  <c r="Y35" i="3"/>
  <c r="D34" i="3"/>
  <c r="W35" i="3"/>
  <c r="W31" i="3"/>
  <c r="Y31" i="3"/>
  <c r="W27" i="3"/>
  <c r="Y27" i="3"/>
  <c r="D26" i="3"/>
  <c r="E54" i="1"/>
  <c r="E38" i="1"/>
  <c r="AD26" i="1"/>
  <c r="E30" i="1"/>
  <c r="AD30" i="1"/>
  <c r="E34" i="1"/>
  <c r="AD34" i="1"/>
  <c r="AD42" i="1"/>
  <c r="G44" i="1"/>
  <c r="F45" i="1" s="1"/>
  <c r="B47" i="11" s="1"/>
  <c r="AD46" i="1"/>
  <c r="AC50" i="1"/>
  <c r="E50" i="1"/>
  <c r="AD50" i="1"/>
  <c r="AD54" i="1"/>
  <c r="AF54" i="1"/>
  <c r="AH50" i="1"/>
  <c r="AF50" i="1"/>
  <c r="E46" i="1"/>
  <c r="AH46" i="1"/>
  <c r="AF46" i="1"/>
  <c r="AF42" i="1"/>
  <c r="E42" i="1"/>
  <c r="AF38" i="1"/>
  <c r="AF34" i="1"/>
  <c r="AF30" i="1"/>
  <c r="AF26" i="1"/>
  <c r="E26" i="1"/>
  <c r="G52" i="1"/>
  <c r="F53" i="1" s="1"/>
  <c r="B49" i="11" s="1"/>
  <c r="G36" i="1"/>
  <c r="F37" i="1" s="1"/>
  <c r="B45" i="11" s="1"/>
  <c r="G32" i="1"/>
  <c r="F33" i="1" s="1"/>
  <c r="B44" i="11" s="1"/>
  <c r="G28" i="1"/>
  <c r="F29" i="1" s="1"/>
  <c r="B43" i="11" s="1"/>
  <c r="G24" i="1"/>
  <c r="F25" i="1" s="1"/>
  <c r="B42" i="11" s="1"/>
  <c r="D51" i="6"/>
  <c r="D47" i="6"/>
  <c r="D43" i="6"/>
  <c r="D39" i="6"/>
  <c r="D35" i="6"/>
  <c r="D31" i="6"/>
  <c r="D27" i="6"/>
  <c r="D23" i="6"/>
  <c r="AI40" i="13" l="1"/>
  <c r="AR143" i="14"/>
  <c r="AP143" i="14"/>
  <c r="AK32" i="13"/>
  <c r="AI36" i="14"/>
  <c r="Y36" i="14" s="1"/>
  <c r="AI36" i="13"/>
  <c r="AQ143" i="14"/>
  <c r="AO143" i="14"/>
  <c r="AL51" i="2"/>
  <c r="AI40" i="14"/>
  <c r="Y40" i="14" s="1"/>
  <c r="AL40" i="14"/>
  <c r="AK28" i="14"/>
  <c r="AL28" i="14" s="1"/>
  <c r="AI44" i="14"/>
  <c r="Y44" i="14" s="1"/>
  <c r="AK48" i="14"/>
  <c r="AL48" i="14" s="1"/>
  <c r="AI32" i="14"/>
  <c r="Y32" i="14" s="1"/>
  <c r="AI52" i="14"/>
  <c r="Y52" i="14" s="1"/>
  <c r="AK44" i="13"/>
  <c r="AI48" i="13"/>
  <c r="F51" i="13"/>
  <c r="B203" i="11" s="1"/>
  <c r="F35" i="13"/>
  <c r="B199" i="11" s="1"/>
  <c r="AT32" i="13"/>
  <c r="F31" i="13"/>
  <c r="B198" i="11" s="1"/>
  <c r="AT40" i="13"/>
  <c r="F39" i="13"/>
  <c r="B200" i="11" s="1"/>
  <c r="F27" i="13"/>
  <c r="B197" i="11" s="1"/>
  <c r="AT28" i="13"/>
  <c r="AI28" i="13"/>
  <c r="AI52" i="13"/>
  <c r="F47" i="13"/>
  <c r="B202" i="11" s="1"/>
  <c r="F43" i="13"/>
  <c r="B201" i="11" s="1"/>
  <c r="D52" i="5"/>
  <c r="AK48" i="5"/>
  <c r="AL48" i="5" s="1"/>
  <c r="AI32" i="5"/>
  <c r="Y32" i="5" s="1"/>
  <c r="AI36" i="5"/>
  <c r="Y36" i="5" s="1"/>
  <c r="AI40" i="5"/>
  <c r="Y40" i="5" s="1"/>
  <c r="AI52" i="5"/>
  <c r="Y52" i="5" s="1"/>
  <c r="D44" i="5"/>
  <c r="AV146" i="2"/>
  <c r="R10" i="15" s="1"/>
  <c r="AJ55" i="2"/>
  <c r="AJ43" i="2"/>
  <c r="R11" i="15"/>
  <c r="AJ35" i="2"/>
  <c r="AJ47" i="2"/>
  <c r="D55" i="3"/>
  <c r="Z47" i="3"/>
  <c r="AC47" i="3" s="1"/>
  <c r="AD47" i="3" s="1"/>
  <c r="AO47" i="3"/>
  <c r="AO46" i="3"/>
  <c r="Z35" i="3"/>
  <c r="AA35" i="3" s="1"/>
  <c r="Q35" i="3" s="1"/>
  <c r="AO35" i="3"/>
  <c r="AO34" i="3"/>
  <c r="Z27" i="3"/>
  <c r="AA27" i="3" s="1"/>
  <c r="Q27" i="3" s="1"/>
  <c r="AO27" i="3"/>
  <c r="AO26" i="3"/>
  <c r="Z39" i="3"/>
  <c r="AC39" i="3" s="1"/>
  <c r="AD39" i="3" s="1"/>
  <c r="AO39" i="3"/>
  <c r="AO38" i="3"/>
  <c r="Z51" i="3"/>
  <c r="AC51" i="3" s="1"/>
  <c r="AD51" i="3" s="1"/>
  <c r="AO50" i="3"/>
  <c r="AO51" i="3"/>
  <c r="Z31" i="3"/>
  <c r="AA31" i="3" s="1"/>
  <c r="Q31" i="3" s="1"/>
  <c r="AO31" i="3"/>
  <c r="AO30" i="3"/>
  <c r="Z43" i="3"/>
  <c r="AC43" i="3" s="1"/>
  <c r="AD43" i="3" s="1"/>
  <c r="AO43" i="3"/>
  <c r="AO42" i="3"/>
  <c r="Z55" i="3"/>
  <c r="AA55" i="3" s="1"/>
  <c r="Q55" i="3" s="1"/>
  <c r="AO55" i="3"/>
  <c r="AO54" i="3"/>
  <c r="AN139" i="1"/>
  <c r="AL139" i="1"/>
  <c r="AP139" i="1"/>
  <c r="AR139" i="1"/>
  <c r="F41" i="1"/>
  <c r="B46" i="11" s="1"/>
  <c r="AB50" i="1"/>
  <c r="R50" i="1" s="1"/>
  <c r="S50" i="1" s="1"/>
  <c r="AC30" i="1"/>
  <c r="AB30" i="1" s="1"/>
  <c r="AC38" i="1"/>
  <c r="AB42" i="1"/>
  <c r="AC34" i="1"/>
  <c r="AB34" i="1" s="1"/>
  <c r="R34" i="1" s="1"/>
  <c r="S34" i="1" s="1"/>
  <c r="AC46" i="1"/>
  <c r="AB46" i="1" s="1"/>
  <c r="R46" i="1" s="1"/>
  <c r="S46" i="1" s="1"/>
  <c r="AC26" i="1"/>
  <c r="AB26" i="1" s="1"/>
  <c r="AU142" i="6"/>
  <c r="O11" i="15" s="1"/>
  <c r="AD35" i="6"/>
  <c r="AD39" i="6"/>
  <c r="AB39" i="6"/>
  <c r="X39" i="6" s="1"/>
  <c r="R39" i="6" s="1"/>
  <c r="AD43" i="6"/>
  <c r="AB35" i="6"/>
  <c r="X35" i="6" s="1"/>
  <c r="R35" i="6" s="1"/>
  <c r="AB51" i="6"/>
  <c r="X51" i="6" s="1"/>
  <c r="R51" i="6" s="1"/>
  <c r="AD51" i="6"/>
  <c r="AF55" i="6"/>
  <c r="AG55" i="6" s="1"/>
  <c r="AB43" i="6"/>
  <c r="X43" i="6" s="1"/>
  <c r="R43" i="6" s="1"/>
  <c r="AB55" i="6"/>
  <c r="X55" i="6" s="1"/>
  <c r="R55" i="6" s="1"/>
  <c r="AF31" i="6"/>
  <c r="AG31" i="6" s="1"/>
  <c r="AD31" i="6"/>
  <c r="AB47" i="6"/>
  <c r="X47" i="6" s="1"/>
  <c r="R47" i="6" s="1"/>
  <c r="AF47" i="6"/>
  <c r="AG47" i="6" s="1"/>
  <c r="O10" i="15"/>
  <c r="AJ31" i="2"/>
  <c r="AF27" i="6"/>
  <c r="AG27" i="6" s="1"/>
  <c r="AB27" i="6"/>
  <c r="X27" i="6" s="1"/>
  <c r="R27" i="6" s="1"/>
  <c r="Y48" i="14"/>
  <c r="BD38" i="1"/>
  <c r="BB38" i="1"/>
  <c r="AY48" i="14"/>
  <c r="AZ48" i="14"/>
  <c r="AU27" i="3"/>
  <c r="AS27" i="3"/>
  <c r="AZ36" i="5"/>
  <c r="AY36" i="5"/>
  <c r="AY32" i="14"/>
  <c r="AZ32" i="14"/>
  <c r="AZ36" i="13"/>
  <c r="AY36" i="13"/>
  <c r="BA46" i="1"/>
  <c r="BC46" i="1"/>
  <c r="BC50" i="1"/>
  <c r="BA50" i="1"/>
  <c r="BC30" i="1"/>
  <c r="BA30" i="1"/>
  <c r="BC42" i="1"/>
  <c r="BA42" i="1"/>
  <c r="AZ32" i="5"/>
  <c r="AY32" i="5"/>
  <c r="AU55" i="3"/>
  <c r="AS55" i="3"/>
  <c r="BA43" i="2"/>
  <c r="AZ43" i="2"/>
  <c r="BD26" i="1"/>
  <c r="BB26" i="1"/>
  <c r="BD50" i="1"/>
  <c r="BB50" i="1"/>
  <c r="BA55" i="2"/>
  <c r="AZ55" i="2"/>
  <c r="AU39" i="3"/>
  <c r="AS39" i="3"/>
  <c r="BC34" i="1"/>
  <c r="BA34" i="1"/>
  <c r="AZ36" i="14"/>
  <c r="AY36" i="14"/>
  <c r="AY44" i="13"/>
  <c r="AZ44" i="13"/>
  <c r="AY40" i="14"/>
  <c r="AZ40" i="14"/>
  <c r="AY44" i="14"/>
  <c r="AZ44" i="14"/>
  <c r="BA51" i="2"/>
  <c r="AZ51" i="2"/>
  <c r="AY40" i="13"/>
  <c r="AZ40" i="13"/>
  <c r="AY28" i="14"/>
  <c r="AZ28" i="14"/>
  <c r="BD34" i="1"/>
  <c r="BB34" i="1"/>
  <c r="AZ48" i="5"/>
  <c r="AY48" i="5"/>
  <c r="BA31" i="2"/>
  <c r="AZ31" i="2"/>
  <c r="AZ52" i="14"/>
  <c r="AY52" i="14"/>
  <c r="AU51" i="3"/>
  <c r="AS51" i="3"/>
  <c r="BA35" i="2"/>
  <c r="AZ35" i="2"/>
  <c r="BC26" i="1"/>
  <c r="BA26" i="1"/>
  <c r="BC54" i="1"/>
  <c r="BA54" i="1"/>
  <c r="AZ52" i="5"/>
  <c r="AY52" i="5"/>
  <c r="F34" i="3"/>
  <c r="B75" i="11" s="1"/>
  <c r="AM35" i="3"/>
  <c r="AR35" i="3"/>
  <c r="AK35" i="3"/>
  <c r="AI35" i="3"/>
  <c r="AG35" i="3"/>
  <c r="F50" i="3"/>
  <c r="B79" i="11" s="1"/>
  <c r="AM51" i="3"/>
  <c r="AR51" i="3"/>
  <c r="AK51" i="3"/>
  <c r="AI51" i="3"/>
  <c r="AG51" i="3"/>
  <c r="F26" i="3"/>
  <c r="B73" i="11" s="1"/>
  <c r="AK27" i="3"/>
  <c r="AI27" i="3"/>
  <c r="AR27" i="3"/>
  <c r="AG27" i="3"/>
  <c r="AM27" i="3"/>
  <c r="F38" i="3"/>
  <c r="B76" i="11" s="1"/>
  <c r="AM39" i="3"/>
  <c r="AK39" i="3"/>
  <c r="AR39" i="3"/>
  <c r="AI39" i="3"/>
  <c r="AG39" i="3"/>
  <c r="BH51" i="4"/>
  <c r="BK51" i="4"/>
  <c r="D48" i="5"/>
  <c r="BK27" i="4"/>
  <c r="BH27" i="4"/>
  <c r="AY28" i="13"/>
  <c r="AZ28" i="13"/>
  <c r="AZ40" i="5"/>
  <c r="AY40" i="5"/>
  <c r="AZ28" i="5"/>
  <c r="AY28" i="5"/>
  <c r="BJ39" i="4"/>
  <c r="BG39" i="4"/>
  <c r="AZ44" i="5"/>
  <c r="AY44" i="5"/>
  <c r="BD46" i="1"/>
  <c r="BB46" i="1"/>
  <c r="F42" i="3"/>
  <c r="B77" i="11" s="1"/>
  <c r="AM43" i="3"/>
  <c r="AK43" i="3"/>
  <c r="AI43" i="3"/>
  <c r="AR43" i="3"/>
  <c r="AG43" i="3"/>
  <c r="F54" i="3"/>
  <c r="B80" i="11" s="1"/>
  <c r="AM55" i="3"/>
  <c r="AK55" i="3"/>
  <c r="AR55" i="3"/>
  <c r="AI55" i="3"/>
  <c r="AG55" i="3"/>
  <c r="AU35" i="3"/>
  <c r="AS35" i="3"/>
  <c r="AU43" i="3"/>
  <c r="AS43" i="3"/>
  <c r="BD30" i="1"/>
  <c r="BB30" i="1"/>
  <c r="AZ48" i="13"/>
  <c r="AY48" i="13"/>
  <c r="BD54" i="1"/>
  <c r="BB54" i="1"/>
  <c r="F46" i="3"/>
  <c r="B78" i="11" s="1"/>
  <c r="AM47" i="3"/>
  <c r="AK47" i="3"/>
  <c r="AI47" i="3"/>
  <c r="AG47" i="3"/>
  <c r="AR47" i="3"/>
  <c r="AZ52" i="13"/>
  <c r="AY52" i="13"/>
  <c r="BA47" i="2"/>
  <c r="AZ47" i="2"/>
  <c r="BC38" i="1"/>
  <c r="BA38" i="1"/>
  <c r="AU47" i="3"/>
  <c r="AS47" i="3"/>
  <c r="AY32" i="13"/>
  <c r="AZ32" i="13"/>
  <c r="BB42" i="1"/>
  <c r="BD42" i="1"/>
  <c r="AZ39" i="2"/>
  <c r="BA39" i="2"/>
  <c r="BD22" i="1"/>
  <c r="BB22" i="1"/>
  <c r="BC22" i="1"/>
  <c r="AT43" i="4"/>
  <c r="AN43" i="4"/>
  <c r="AQ43" i="4"/>
  <c r="AW43" i="4"/>
  <c r="AZ51" i="4"/>
  <c r="AN27" i="4"/>
  <c r="AQ27" i="4"/>
  <c r="AT27" i="4"/>
  <c r="AW27" i="4"/>
  <c r="E30" i="4"/>
  <c r="B136" i="11" s="1"/>
  <c r="AZ31" i="4"/>
  <c r="AN51" i="4"/>
  <c r="AT51" i="4"/>
  <c r="AW51" i="4"/>
  <c r="AQ51" i="4"/>
  <c r="E50" i="4"/>
  <c r="B141" i="11" s="1"/>
  <c r="T51" i="4"/>
  <c r="U51" i="4" s="1"/>
  <c r="D141" i="11" s="1"/>
  <c r="D47" i="4"/>
  <c r="AI24" i="14"/>
  <c r="Y24" i="14" s="1"/>
  <c r="AY24" i="14"/>
  <c r="AZ24" i="14"/>
  <c r="AU31" i="3"/>
  <c r="AS31" i="3"/>
  <c r="AV31" i="3"/>
  <c r="AT31" i="3"/>
  <c r="D35" i="3"/>
  <c r="D39" i="3"/>
  <c r="D31" i="3"/>
  <c r="AL44" i="14"/>
  <c r="D52" i="14"/>
  <c r="W44" i="13"/>
  <c r="X44" i="13" s="1"/>
  <c r="W52" i="13"/>
  <c r="X52" i="13" s="1"/>
  <c r="W36" i="13"/>
  <c r="X36" i="13" s="1"/>
  <c r="U44" i="13"/>
  <c r="V44" i="13" s="1"/>
  <c r="D201" i="11" s="1"/>
  <c r="U36" i="13"/>
  <c r="V36" i="13" s="1"/>
  <c r="D199" i="11" s="1"/>
  <c r="W48" i="13"/>
  <c r="X48" i="13" s="1"/>
  <c r="D36" i="5"/>
  <c r="E26" i="4"/>
  <c r="B135" i="11" s="1"/>
  <c r="X55" i="2"/>
  <c r="Y55" i="2" s="1"/>
  <c r="V55" i="2"/>
  <c r="W55" i="2" s="1"/>
  <c r="D110" i="11" s="1"/>
  <c r="V47" i="2"/>
  <c r="W47" i="2" s="1"/>
  <c r="D108" i="11" s="1"/>
  <c r="X47" i="2"/>
  <c r="Y47" i="2" s="1"/>
  <c r="D54" i="2"/>
  <c r="B110" i="11" s="1"/>
  <c r="D38" i="2"/>
  <c r="B106" i="11" s="1"/>
  <c r="X35" i="2"/>
  <c r="Y35" i="2" s="1"/>
  <c r="V35" i="2"/>
  <c r="W35" i="2" s="1"/>
  <c r="D105" i="11" s="1"/>
  <c r="X43" i="2"/>
  <c r="Y43" i="2" s="1"/>
  <c r="V43" i="2"/>
  <c r="W43" i="2" s="1"/>
  <c r="D107" i="11" s="1"/>
  <c r="D34" i="2"/>
  <c r="B105" i="11" s="1"/>
  <c r="D30" i="2"/>
  <c r="B104" i="11" s="1"/>
  <c r="X31" i="2"/>
  <c r="Y31" i="2" s="1"/>
  <c r="V31" i="2"/>
  <c r="W31" i="2" s="1"/>
  <c r="D104" i="11" s="1"/>
  <c r="D47" i="3"/>
  <c r="D43" i="3"/>
  <c r="D27" i="3"/>
  <c r="W28" i="13"/>
  <c r="X28" i="13" s="1"/>
  <c r="D28" i="5"/>
  <c r="D36" i="14"/>
  <c r="D40" i="5"/>
  <c r="D44" i="14"/>
  <c r="D28" i="14"/>
  <c r="D32" i="5"/>
  <c r="D55" i="4"/>
  <c r="T43" i="4"/>
  <c r="U43" i="4" s="1"/>
  <c r="V43" i="4"/>
  <c r="W43" i="4" s="1"/>
  <c r="D39" i="4"/>
  <c r="D35" i="4"/>
  <c r="T31" i="4"/>
  <c r="U31" i="4" s="1"/>
  <c r="D136" i="11" s="1"/>
  <c r="V31" i="4"/>
  <c r="W31" i="4" s="1"/>
  <c r="V27" i="4"/>
  <c r="W27" i="4" s="1"/>
  <c r="T27" i="4"/>
  <c r="U27" i="4" s="1"/>
  <c r="D135" i="11" s="1"/>
  <c r="U52" i="13"/>
  <c r="V52" i="13" s="1"/>
  <c r="D203" i="11" s="1"/>
  <c r="U48" i="13"/>
  <c r="V48" i="13" s="1"/>
  <c r="D202" i="11" s="1"/>
  <c r="W40" i="13"/>
  <c r="X40" i="13" s="1"/>
  <c r="U40" i="13"/>
  <c r="V40" i="13" s="1"/>
  <c r="D200" i="11" s="1"/>
  <c r="U32" i="13"/>
  <c r="V32" i="13" s="1"/>
  <c r="D198" i="11" s="1"/>
  <c r="W32" i="13"/>
  <c r="X32" i="13" s="1"/>
  <c r="U28" i="13"/>
  <c r="V28" i="13" s="1"/>
  <c r="D197" i="11" s="1"/>
  <c r="AL36" i="14"/>
  <c r="AL32" i="14"/>
  <c r="D24" i="14"/>
  <c r="AL52" i="14"/>
  <c r="D48" i="14"/>
  <c r="AF39" i="2"/>
  <c r="AH51" i="2"/>
  <c r="AF51" i="2" s="1"/>
  <c r="D51" i="3"/>
  <c r="AA39" i="3"/>
  <c r="Q39" i="3" s="1"/>
  <c r="AD38" i="1"/>
  <c r="AC54" i="1"/>
  <c r="AC35" i="3" l="1"/>
  <c r="AD35" i="3" s="1"/>
  <c r="Y48" i="13"/>
  <c r="BB139" i="1"/>
  <c r="Z35" i="2"/>
  <c r="Y36" i="13"/>
  <c r="AZ143" i="14"/>
  <c r="V6" i="15" s="1"/>
  <c r="AI50" i="1"/>
  <c r="AY143" i="14"/>
  <c r="T34" i="1"/>
  <c r="Y2" i="14"/>
  <c r="Y44" i="13"/>
  <c r="Y32" i="13"/>
  <c r="D43" i="4"/>
  <c r="D139" i="11"/>
  <c r="Y40" i="13"/>
  <c r="T46" i="1"/>
  <c r="V7" i="15"/>
  <c r="Y28" i="13"/>
  <c r="Y52" i="13"/>
  <c r="Z43" i="2"/>
  <c r="Z55" i="2"/>
  <c r="Z31" i="2"/>
  <c r="Z47" i="2"/>
  <c r="AA43" i="3"/>
  <c r="Q43" i="3" s="1"/>
  <c r="AA47" i="3"/>
  <c r="Q47" i="3" s="1"/>
  <c r="AC31" i="3"/>
  <c r="AD31" i="3" s="1"/>
  <c r="AA51" i="3"/>
  <c r="Q51" i="3" s="1"/>
  <c r="AC27" i="3"/>
  <c r="AD27" i="3" s="1"/>
  <c r="AC55" i="3"/>
  <c r="AD55" i="3" s="1"/>
  <c r="BD139" i="1"/>
  <c r="AB38" i="1"/>
  <c r="AB54" i="1"/>
  <c r="R54" i="1" s="1"/>
  <c r="S54" i="1" s="1"/>
  <c r="P7" i="15"/>
  <c r="AV27" i="3"/>
  <c r="AT27" i="3"/>
  <c r="T50" i="1"/>
  <c r="AV39" i="3"/>
  <c r="AT39" i="3"/>
  <c r="AV55" i="3"/>
  <c r="AT55" i="3"/>
  <c r="AV47" i="3"/>
  <c r="AT47" i="3"/>
  <c r="AV35" i="3"/>
  <c r="AT35" i="3"/>
  <c r="AV51" i="3"/>
  <c r="AT51" i="3"/>
  <c r="AV43" i="3"/>
  <c r="AT43" i="3"/>
  <c r="D36" i="13"/>
  <c r="D51" i="4"/>
  <c r="AM47" i="2"/>
  <c r="AM55" i="2"/>
  <c r="AM35" i="2"/>
  <c r="R30" i="1"/>
  <c r="S30" i="1" s="1"/>
  <c r="R26" i="1"/>
  <c r="S26" i="1" s="1"/>
  <c r="R42" i="1"/>
  <c r="S42" i="1" s="1"/>
  <c r="AL36" i="13"/>
  <c r="AL44" i="13"/>
  <c r="D44" i="13"/>
  <c r="AL48" i="13"/>
  <c r="AL28" i="13"/>
  <c r="E47" i="2"/>
  <c r="E43" i="2"/>
  <c r="E55" i="2"/>
  <c r="X39" i="2"/>
  <c r="Y39" i="2" s="1"/>
  <c r="V39" i="2"/>
  <c r="W39" i="2" s="1"/>
  <c r="D106" i="11" s="1"/>
  <c r="AM43" i="2"/>
  <c r="E35" i="2"/>
  <c r="X51" i="2"/>
  <c r="Y51" i="2" s="1"/>
  <c r="V51" i="2"/>
  <c r="W51" i="2" s="1"/>
  <c r="D109" i="11" s="1"/>
  <c r="AM31" i="2"/>
  <c r="E31" i="2"/>
  <c r="D31" i="4"/>
  <c r="D27" i="4"/>
  <c r="AL32" i="13"/>
  <c r="D28" i="13"/>
  <c r="AL52" i="13"/>
  <c r="D52" i="13"/>
  <c r="D48" i="13"/>
  <c r="AL40" i="13"/>
  <c r="D40" i="13"/>
  <c r="D32" i="13"/>
  <c r="AI34" i="1"/>
  <c r="AI46" i="1"/>
  <c r="AE24" i="13"/>
  <c r="E22" i="13" s="1"/>
  <c r="AT24" i="13" s="1"/>
  <c r="AD24" i="13"/>
  <c r="Z51" i="2" l="1"/>
  <c r="T42" i="1"/>
  <c r="T26" i="1"/>
  <c r="T30" i="1"/>
  <c r="Z39" i="2"/>
  <c r="V5" i="15"/>
  <c r="T54" i="1"/>
  <c r="AI54" i="1"/>
  <c r="P6" i="15"/>
  <c r="P5" i="15"/>
  <c r="V4" i="15"/>
  <c r="V3" i="15"/>
  <c r="P4" i="15"/>
  <c r="P3" i="15"/>
  <c r="AM51" i="2"/>
  <c r="AI30" i="1"/>
  <c r="AI26" i="1"/>
  <c r="R38" i="1"/>
  <c r="S38" i="1" s="1"/>
  <c r="AI42" i="1"/>
  <c r="E39" i="2"/>
  <c r="E51" i="2"/>
  <c r="AM39" i="2"/>
  <c r="U24" i="13"/>
  <c r="W24" i="13"/>
  <c r="X24" i="13" s="1"/>
  <c r="AG24" i="13"/>
  <c r="T23" i="13"/>
  <c r="B23" i="13"/>
  <c r="T3" i="13"/>
  <c r="T2" i="13"/>
  <c r="D18" i="7"/>
  <c r="C10" i="11"/>
  <c r="C328" i="11" s="1"/>
  <c r="D12" i="7"/>
  <c r="T3" i="5"/>
  <c r="T2" i="5"/>
  <c r="S3" i="4"/>
  <c r="S2" i="4"/>
  <c r="U3" i="2"/>
  <c r="U2" i="2"/>
  <c r="A195" i="11" l="1"/>
  <c r="I4" i="13"/>
  <c r="A9" i="11"/>
  <c r="H4" i="6"/>
  <c r="T38" i="1"/>
  <c r="C22" i="4"/>
  <c r="BE23" i="4" s="1"/>
  <c r="BK23" i="4" s="1"/>
  <c r="G21" i="4"/>
  <c r="AR24" i="13"/>
  <c r="AR141" i="13" s="1"/>
  <c r="AX24" i="13"/>
  <c r="AQ24" i="13"/>
  <c r="AQ141" i="13" s="1"/>
  <c r="AP24" i="13"/>
  <c r="AP141" i="13" s="1"/>
  <c r="AO24" i="13"/>
  <c r="AO141" i="13" s="1"/>
  <c r="AH24" i="13"/>
  <c r="AK24" i="13" s="1"/>
  <c r="AL24" i="13" s="1"/>
  <c r="AV24" i="13"/>
  <c r="AI38" i="1"/>
  <c r="F23" i="13"/>
  <c r="B196" i="11" s="1"/>
  <c r="M1" i="6"/>
  <c r="V24" i="13"/>
  <c r="D196" i="11" s="1"/>
  <c r="M3" i="6"/>
  <c r="M2" i="6"/>
  <c r="C54" i="6"/>
  <c r="B54" i="6"/>
  <c r="AI55" i="6" s="1"/>
  <c r="C50" i="6"/>
  <c r="B50" i="6"/>
  <c r="C46" i="6"/>
  <c r="B46" i="6"/>
  <c r="C42" i="6"/>
  <c r="B42" i="6"/>
  <c r="C38" i="6"/>
  <c r="B38" i="6"/>
  <c r="C34" i="6"/>
  <c r="B34" i="6"/>
  <c r="C30" i="6"/>
  <c r="B30" i="6"/>
  <c r="C26" i="6"/>
  <c r="B26" i="6"/>
  <c r="P23" i="6"/>
  <c r="Q23" i="6" s="1"/>
  <c r="AO47" i="6" l="1"/>
  <c r="AW47" i="6"/>
  <c r="AM47" i="6"/>
  <c r="AK47" i="6"/>
  <c r="AI47" i="6"/>
  <c r="AN43" i="6"/>
  <c r="AL43" i="6"/>
  <c r="AX43" i="6"/>
  <c r="AJ43" i="6"/>
  <c r="AP43" i="6"/>
  <c r="AX47" i="6"/>
  <c r="AN47" i="6"/>
  <c r="AL47" i="6"/>
  <c r="AJ47" i="6"/>
  <c r="AP47" i="6"/>
  <c r="AO35" i="6"/>
  <c r="AW35" i="6"/>
  <c r="AM35" i="6"/>
  <c r="AK35" i="6"/>
  <c r="AI35" i="6"/>
  <c r="AX31" i="6"/>
  <c r="AN31" i="6"/>
  <c r="AL31" i="6"/>
  <c r="AJ31" i="6"/>
  <c r="AP31" i="6"/>
  <c r="AN51" i="6"/>
  <c r="AL51" i="6"/>
  <c r="AJ51" i="6"/>
  <c r="AX51" i="6"/>
  <c r="AP51" i="6"/>
  <c r="AO51" i="6"/>
  <c r="AW51" i="6"/>
  <c r="AM51" i="6"/>
  <c r="AK51" i="6"/>
  <c r="AI51" i="6"/>
  <c r="AO39" i="6"/>
  <c r="AM39" i="6"/>
  <c r="AK39" i="6"/>
  <c r="AW39" i="6"/>
  <c r="AI39" i="6"/>
  <c r="AO55" i="6"/>
  <c r="AM55" i="6"/>
  <c r="AK55" i="6"/>
  <c r="AW55" i="6"/>
  <c r="AN39" i="6"/>
  <c r="AL39" i="6"/>
  <c r="AJ39" i="6"/>
  <c r="AX39" i="6"/>
  <c r="AP39" i="6"/>
  <c r="AN55" i="6"/>
  <c r="AL55" i="6"/>
  <c r="AJ55" i="6"/>
  <c r="AX55" i="6"/>
  <c r="AP55" i="6"/>
  <c r="AO31" i="6"/>
  <c r="AW31" i="6"/>
  <c r="AM31" i="6"/>
  <c r="AK31" i="6"/>
  <c r="AI31" i="6"/>
  <c r="AN35" i="6"/>
  <c r="AL35" i="6"/>
  <c r="AJ35" i="6"/>
  <c r="AX35" i="6"/>
  <c r="AP35" i="6"/>
  <c r="AO43" i="6"/>
  <c r="AM43" i="6"/>
  <c r="AW43" i="6"/>
  <c r="AK43" i="6"/>
  <c r="AI43" i="6"/>
  <c r="U7" i="15"/>
  <c r="AN23" i="4"/>
  <c r="AT23" i="4"/>
  <c r="AU140" i="4" s="1"/>
  <c r="AQ23" i="4"/>
  <c r="BH23" i="4"/>
  <c r="AW23" i="4"/>
  <c r="AX140" i="4" s="1"/>
  <c r="AO27" i="6"/>
  <c r="AM27" i="6"/>
  <c r="AI27" i="6"/>
  <c r="AK27" i="6"/>
  <c r="AW27" i="6"/>
  <c r="AN27" i="6"/>
  <c r="AL27" i="6"/>
  <c r="AX27" i="6"/>
  <c r="AJ27" i="6"/>
  <c r="AP27" i="6"/>
  <c r="AI24" i="13"/>
  <c r="Y24" i="13" s="1"/>
  <c r="AZ24" i="13"/>
  <c r="AZ141" i="13" s="1"/>
  <c r="AY24" i="13"/>
  <c r="AY141" i="13" s="1"/>
  <c r="E38" i="6"/>
  <c r="B14" i="11" s="1"/>
  <c r="E30" i="6"/>
  <c r="B12" i="11" s="1"/>
  <c r="E54" i="6"/>
  <c r="B18" i="11" s="1"/>
  <c r="E46" i="6"/>
  <c r="B16" i="11" s="1"/>
  <c r="E34" i="6"/>
  <c r="B13" i="11" s="1"/>
  <c r="E42" i="6"/>
  <c r="B15" i="11" s="1"/>
  <c r="E50" i="6"/>
  <c r="B17" i="11" s="1"/>
  <c r="E26" i="6"/>
  <c r="B11" i="11" s="1"/>
  <c r="D24" i="13"/>
  <c r="AL140" i="6" l="1"/>
  <c r="Y2" i="13"/>
  <c r="AJ140" i="6"/>
  <c r="AN140" i="6"/>
  <c r="AP140" i="6"/>
  <c r="BB35" i="6"/>
  <c r="AZ35" i="6"/>
  <c r="BA51" i="6"/>
  <c r="AY51" i="6"/>
  <c r="BB43" i="6"/>
  <c r="AZ43" i="6"/>
  <c r="BB55" i="6"/>
  <c r="AZ55" i="6"/>
  <c r="AY55" i="6"/>
  <c r="BA55" i="6"/>
  <c r="AZ51" i="6"/>
  <c r="BB51" i="6"/>
  <c r="BB31" i="6"/>
  <c r="AZ31" i="6"/>
  <c r="BA43" i="6"/>
  <c r="AY43" i="6"/>
  <c r="AY39" i="6"/>
  <c r="BA39" i="6"/>
  <c r="BB47" i="6"/>
  <c r="AZ47" i="6"/>
  <c r="BA47" i="6"/>
  <c r="AY47" i="6"/>
  <c r="BA31" i="6"/>
  <c r="AY31" i="6"/>
  <c r="AZ39" i="6"/>
  <c r="BB39" i="6"/>
  <c r="BA35" i="6"/>
  <c r="AY35" i="6"/>
  <c r="U4" i="15"/>
  <c r="U3" i="15"/>
  <c r="U6" i="15"/>
  <c r="U5" i="15"/>
  <c r="BB27" i="6"/>
  <c r="AZ27" i="6"/>
  <c r="BA27" i="6"/>
  <c r="AY27" i="6"/>
  <c r="BB140" i="6" l="1"/>
  <c r="O5" i="15" s="1"/>
  <c r="AZ140" i="6"/>
  <c r="O3" i="15" s="1"/>
  <c r="O7" i="15"/>
  <c r="AA23" i="6"/>
  <c r="M22" i="6"/>
  <c r="O6" i="15" l="1"/>
  <c r="O4" i="15"/>
  <c r="AD23" i="6"/>
  <c r="AB23" i="6"/>
  <c r="AF23" i="6"/>
  <c r="AG23" i="6" s="1"/>
  <c r="AG24" i="5"/>
  <c r="W24" i="5"/>
  <c r="X24" i="5" s="1"/>
  <c r="D20" i="5"/>
  <c r="AF24" i="5"/>
  <c r="AE24" i="5"/>
  <c r="AD24" i="5"/>
  <c r="T23" i="5"/>
  <c r="AH24" i="5" l="1"/>
  <c r="AJ24" i="5" s="1"/>
  <c r="AV24" i="5"/>
  <c r="X23" i="6"/>
  <c r="R23" i="6" s="1"/>
  <c r="R2" i="6" s="1"/>
  <c r="AE55" i="4"/>
  <c r="BB55" i="4" s="1"/>
  <c r="AD55" i="4"/>
  <c r="AC55" i="4"/>
  <c r="AE51" i="4"/>
  <c r="BB51" i="4" s="1"/>
  <c r="AD51" i="4"/>
  <c r="AC51" i="4"/>
  <c r="AF47" i="4"/>
  <c r="AG47" i="4" s="1"/>
  <c r="AE47" i="4"/>
  <c r="BB47" i="4" s="1"/>
  <c r="AD47" i="4"/>
  <c r="AC47" i="4"/>
  <c r="AE43" i="4"/>
  <c r="BB43" i="4" s="1"/>
  <c r="AD43" i="4"/>
  <c r="AC43" i="4"/>
  <c r="AE39" i="4"/>
  <c r="BB39" i="4" s="1"/>
  <c r="AD39" i="4"/>
  <c r="AC39" i="4"/>
  <c r="AE35" i="4"/>
  <c r="BB35" i="4" s="1"/>
  <c r="AD35" i="4"/>
  <c r="AC35" i="4"/>
  <c r="AE31" i="4"/>
  <c r="BB31" i="4" s="1"/>
  <c r="AD31" i="4"/>
  <c r="AC31" i="4"/>
  <c r="AE27" i="4"/>
  <c r="BB27" i="4" s="1"/>
  <c r="AD27" i="4"/>
  <c r="AC27" i="4"/>
  <c r="G25" i="2"/>
  <c r="AJ47" i="4" l="1"/>
  <c r="AH47" i="4"/>
  <c r="X47" i="4" s="1"/>
  <c r="S22" i="4"/>
  <c r="AE23" i="4"/>
  <c r="BB23" i="4" s="1"/>
  <c r="AD23" i="4"/>
  <c r="AC23" i="4"/>
  <c r="L22" i="3"/>
  <c r="V23" i="3"/>
  <c r="X23" i="3"/>
  <c r="Q12" i="15"/>
  <c r="L3" i="3"/>
  <c r="L2" i="3"/>
  <c r="O3" i="1"/>
  <c r="O2" i="1"/>
  <c r="U26" i="2"/>
  <c r="AF27" i="4" l="1"/>
  <c r="AG27" i="4" s="1"/>
  <c r="AF31" i="4"/>
  <c r="AG31" i="4" s="1"/>
  <c r="AF51" i="4"/>
  <c r="AG51" i="4" s="1"/>
  <c r="AF43" i="4"/>
  <c r="AG43" i="4" s="1"/>
  <c r="AF55" i="4"/>
  <c r="AG55" i="4" s="1"/>
  <c r="AF35" i="4"/>
  <c r="AG35" i="4" s="1"/>
  <c r="AF39" i="4"/>
  <c r="AG39" i="4" s="1"/>
  <c r="AF23" i="4"/>
  <c r="AG23" i="4" s="1"/>
  <c r="AH55" i="4" l="1"/>
  <c r="X55" i="4" s="1"/>
  <c r="AJ55" i="4"/>
  <c r="AH39" i="4"/>
  <c r="X39" i="4" s="1"/>
  <c r="AJ39" i="4"/>
  <c r="AJ35" i="4"/>
  <c r="AH35" i="4"/>
  <c r="X35" i="4" s="1"/>
  <c r="AJ51" i="4"/>
  <c r="AH51" i="4"/>
  <c r="X51" i="4" s="1"/>
  <c r="AJ31" i="4"/>
  <c r="AH31" i="4"/>
  <c r="X31" i="4" s="1"/>
  <c r="AH27" i="4"/>
  <c r="X27" i="4" s="1"/>
  <c r="AJ27" i="4"/>
  <c r="AH43" i="4"/>
  <c r="X43" i="4" s="1"/>
  <c r="AJ43" i="4"/>
  <c r="AH23" i="4"/>
  <c r="AJ23" i="4"/>
  <c r="O21" i="1"/>
  <c r="AE22" i="1"/>
  <c r="Z22" i="1"/>
  <c r="Y22" i="1"/>
  <c r="AG142" i="25" l="1"/>
  <c r="AG123" i="25"/>
  <c r="AE138" i="24"/>
  <c r="AE122" i="24"/>
  <c r="AE58" i="24"/>
  <c r="AE94" i="24"/>
  <c r="AE82" i="24"/>
  <c r="AE86" i="24"/>
  <c r="AG161" i="25"/>
  <c r="AG104" i="25"/>
  <c r="AG47" i="25"/>
  <c r="AE50" i="24"/>
  <c r="AG85" i="25"/>
  <c r="AG66" i="25"/>
  <c r="AE134" i="24"/>
  <c r="AE34" i="24"/>
  <c r="AE38" i="24"/>
  <c r="AE106" i="24"/>
  <c r="AE118" i="24"/>
  <c r="AE114" i="24"/>
  <c r="AE110" i="24"/>
  <c r="AE46" i="24"/>
  <c r="AE74" i="24"/>
  <c r="AE90" i="24"/>
  <c r="AE126" i="24"/>
  <c r="AE62" i="24"/>
  <c r="AE98" i="24"/>
  <c r="AE42" i="24"/>
  <c r="AE54" i="24"/>
  <c r="AE78" i="24"/>
  <c r="AE102" i="24"/>
  <c r="AE26" i="24"/>
  <c r="AE70" i="24"/>
  <c r="AE30" i="24"/>
  <c r="AE66" i="24"/>
  <c r="AE130" i="24"/>
  <c r="AE23" i="6"/>
  <c r="AE75" i="6"/>
  <c r="AE103" i="6"/>
  <c r="AE79" i="6"/>
  <c r="AE95" i="6"/>
  <c r="AE71" i="6"/>
  <c r="AE135" i="6"/>
  <c r="AE127" i="6"/>
  <c r="AE67" i="6"/>
  <c r="AE119" i="6"/>
  <c r="AE83" i="6"/>
  <c r="AE59" i="6"/>
  <c r="W59" i="6" s="1"/>
  <c r="S59" i="6" s="1"/>
  <c r="E19" i="11" s="1"/>
  <c r="AE111" i="6"/>
  <c r="AE99" i="6"/>
  <c r="AE91" i="6"/>
  <c r="AE131" i="6"/>
  <c r="AE115" i="6"/>
  <c r="AE87" i="6"/>
  <c r="AE139" i="6"/>
  <c r="AE123" i="6"/>
  <c r="AE107" i="6"/>
  <c r="AE63" i="6"/>
  <c r="AI23" i="4"/>
  <c r="AC22" i="24"/>
  <c r="W22" i="24" s="1"/>
  <c r="S22" i="24" s="1"/>
  <c r="E258" i="11" s="1"/>
  <c r="AE28" i="25"/>
  <c r="Y28" i="25" s="1"/>
  <c r="U28" i="25" s="1"/>
  <c r="AE22" i="24"/>
  <c r="AG28" i="25"/>
  <c r="AH23" i="25"/>
  <c r="U23" i="25" s="1"/>
  <c r="AH18" i="25"/>
  <c r="U18" i="25" s="1"/>
  <c r="AE47" i="6"/>
  <c r="AE51" i="6"/>
  <c r="AE39" i="6"/>
  <c r="AE27" i="6"/>
  <c r="AE55" i="6"/>
  <c r="AE31" i="6"/>
  <c r="AE35" i="6"/>
  <c r="AE43" i="6"/>
  <c r="AJ48" i="13"/>
  <c r="AJ40" i="13"/>
  <c r="AJ32" i="13"/>
  <c r="Z32" i="13" s="1"/>
  <c r="E198" i="11" s="1"/>
  <c r="AC51" i="6"/>
  <c r="W51" i="6" s="1"/>
  <c r="AC47" i="6"/>
  <c r="W47" i="6" s="1"/>
  <c r="AC39" i="6"/>
  <c r="W39" i="6" s="1"/>
  <c r="AG30" i="1"/>
  <c r="AK35" i="2"/>
  <c r="AG38" i="1"/>
  <c r="U38" i="1" s="1"/>
  <c r="E45" i="11" s="1"/>
  <c r="AJ44" i="5"/>
  <c r="Z44" i="5" s="1"/>
  <c r="E170" i="11" s="1"/>
  <c r="AK39" i="2"/>
  <c r="AC35" i="6"/>
  <c r="W35" i="6" s="1"/>
  <c r="AJ52" i="14"/>
  <c r="AJ36" i="14"/>
  <c r="AJ40" i="5"/>
  <c r="AG54" i="1"/>
  <c r="AC27" i="6"/>
  <c r="AC31" i="6"/>
  <c r="W31" i="6" s="1"/>
  <c r="S31" i="6" s="1"/>
  <c r="E12" i="11" s="1"/>
  <c r="AK47" i="2"/>
  <c r="AC55" i="6"/>
  <c r="W55" i="6" s="1"/>
  <c r="AJ36" i="5"/>
  <c r="AJ44" i="14"/>
  <c r="AJ32" i="5"/>
  <c r="Z32" i="5" s="1"/>
  <c r="E167" i="11" s="1"/>
  <c r="AK55" i="2"/>
  <c r="AK43" i="2"/>
  <c r="AA43" i="2" s="1"/>
  <c r="E107" i="11" s="1"/>
  <c r="AK31" i="2"/>
  <c r="AG42" i="1"/>
  <c r="AJ52" i="5"/>
  <c r="AJ40" i="14"/>
  <c r="AK51" i="2"/>
  <c r="AG34" i="1"/>
  <c r="AJ52" i="13"/>
  <c r="AJ44" i="13"/>
  <c r="Z44" i="13" s="1"/>
  <c r="E201" i="11" s="1"/>
  <c r="AJ28" i="13"/>
  <c r="AJ28" i="14"/>
  <c r="AJ48" i="5"/>
  <c r="AG50" i="1"/>
  <c r="AG26" i="1"/>
  <c r="AC43" i="6"/>
  <c r="W43" i="6" s="1"/>
  <c r="AJ36" i="13"/>
  <c r="AJ48" i="14"/>
  <c r="AJ32" i="14"/>
  <c r="AJ28" i="5"/>
  <c r="AJ24" i="14"/>
  <c r="Z24" i="14" s="1"/>
  <c r="AG46" i="1"/>
  <c r="AB47" i="3"/>
  <c r="R47" i="3" s="1"/>
  <c r="E78" i="11" s="1"/>
  <c r="AB35" i="3"/>
  <c r="R35" i="3" s="1"/>
  <c r="E75" i="11" s="1"/>
  <c r="AB55" i="3"/>
  <c r="R55" i="3" s="1"/>
  <c r="E80" i="11" s="1"/>
  <c r="AB51" i="3"/>
  <c r="R51" i="3" s="1"/>
  <c r="E79" i="11" s="1"/>
  <c r="AB31" i="3"/>
  <c r="R31" i="3" s="1"/>
  <c r="E74" i="11" s="1"/>
  <c r="AB27" i="3"/>
  <c r="R27" i="3" s="1"/>
  <c r="E73" i="11" s="1"/>
  <c r="AB43" i="3"/>
  <c r="R43" i="3" s="1"/>
  <c r="E77" i="11" s="1"/>
  <c r="AB39" i="3"/>
  <c r="R39" i="3" s="1"/>
  <c r="E76" i="11" s="1"/>
  <c r="AJ24" i="13"/>
  <c r="Z24" i="13" s="1"/>
  <c r="AC23" i="6"/>
  <c r="W23" i="6" s="1"/>
  <c r="S23" i="6" s="1"/>
  <c r="AI47" i="4"/>
  <c r="Y47" i="4" s="1"/>
  <c r="E140" i="11" s="1"/>
  <c r="AI39" i="4"/>
  <c r="Y39" i="4" s="1"/>
  <c r="E138" i="11" s="1"/>
  <c r="AI35" i="4"/>
  <c r="Y35" i="4" s="1"/>
  <c r="E137" i="11" s="1"/>
  <c r="AI31" i="4"/>
  <c r="Y31" i="4" s="1"/>
  <c r="E136" i="11" s="1"/>
  <c r="AI55" i="4"/>
  <c r="Y55" i="4" s="1"/>
  <c r="E142" i="11" s="1"/>
  <c r="AI51" i="4"/>
  <c r="Y51" i="4" s="1"/>
  <c r="E141" i="11" s="1"/>
  <c r="AI43" i="4"/>
  <c r="Y43" i="4" s="1"/>
  <c r="E139" i="11" s="1"/>
  <c r="AI27" i="4"/>
  <c r="Y27" i="4" s="1"/>
  <c r="E135" i="11" s="1"/>
  <c r="AH22" i="1"/>
  <c r="AG22" i="1"/>
  <c r="U22" i="1" s="1"/>
  <c r="E41" i="11" s="1"/>
  <c r="AF22" i="1"/>
  <c r="U32" i="25" l="1"/>
  <c r="E320" i="11" s="1"/>
  <c r="E196" i="11"/>
  <c r="E227" i="11"/>
  <c r="W27" i="6"/>
  <c r="S27" i="6" s="1"/>
  <c r="E11" i="11" s="1"/>
  <c r="Z36" i="13"/>
  <c r="E199" i="11" s="1"/>
  <c r="Z52" i="13"/>
  <c r="E203" i="11" s="1"/>
  <c r="Z40" i="5"/>
  <c r="E169" i="11" s="1"/>
  <c r="Z44" i="14"/>
  <c r="E232" i="11" s="1"/>
  <c r="Z36" i="14"/>
  <c r="E230" i="11" s="1"/>
  <c r="Z40" i="14"/>
  <c r="E231" i="11" s="1"/>
  <c r="Z36" i="5"/>
  <c r="E168" i="11" s="1"/>
  <c r="Z52" i="14"/>
  <c r="E234" i="11" s="1"/>
  <c r="Z48" i="5"/>
  <c r="E171" i="11" s="1"/>
  <c r="Z52" i="5"/>
  <c r="E172" i="11" s="1"/>
  <c r="Z28" i="14"/>
  <c r="E228" i="11" s="1"/>
  <c r="Z32" i="14"/>
  <c r="E229" i="11" s="1"/>
  <c r="Z40" i="13"/>
  <c r="E200" i="11" s="1"/>
  <c r="Z48" i="14"/>
  <c r="E233" i="11" s="1"/>
  <c r="Z48" i="13"/>
  <c r="E202" i="11" s="1"/>
  <c r="U54" i="1"/>
  <c r="E49" i="11" s="1"/>
  <c r="U50" i="1"/>
  <c r="E48" i="11" s="1"/>
  <c r="U46" i="1"/>
  <c r="E47" i="11" s="1"/>
  <c r="U42" i="1"/>
  <c r="E46" i="11" s="1"/>
  <c r="U34" i="1"/>
  <c r="E44" i="11" s="1"/>
  <c r="U30" i="1"/>
  <c r="E43" i="11" s="1"/>
  <c r="U26" i="1"/>
  <c r="E42" i="11" s="1"/>
  <c r="AA35" i="2"/>
  <c r="E105" i="11" s="1"/>
  <c r="AA51" i="2"/>
  <c r="E109" i="11" s="1"/>
  <c r="AA55" i="2"/>
  <c r="E110" i="11" s="1"/>
  <c r="AA47" i="2"/>
  <c r="E108" i="11" s="1"/>
  <c r="AA39" i="2"/>
  <c r="E106" i="11" s="1"/>
  <c r="S43" i="6"/>
  <c r="E15" i="11" s="1"/>
  <c r="S39" i="6"/>
  <c r="E14" i="11" s="1"/>
  <c r="S47" i="6"/>
  <c r="E16" i="11" s="1"/>
  <c r="S55" i="6"/>
  <c r="E18" i="11" s="1"/>
  <c r="Z28" i="13"/>
  <c r="E197" i="11" s="1"/>
  <c r="Z28" i="5"/>
  <c r="E166" i="11" s="1"/>
  <c r="AA31" i="2"/>
  <c r="E104" i="11" s="1"/>
  <c r="S35" i="6"/>
  <c r="E13" i="11" s="1"/>
  <c r="S51" i="6"/>
  <c r="E17" i="11" s="1"/>
  <c r="E10" i="11"/>
  <c r="L28" i="7"/>
  <c r="L29" i="7"/>
  <c r="L30" i="7"/>
  <c r="L31" i="7"/>
  <c r="L32" i="7"/>
  <c r="L27" i="7"/>
  <c r="R3" i="6" l="1"/>
  <c r="Y3" i="14"/>
  <c r="Y3" i="13"/>
  <c r="T3" i="1"/>
  <c r="D13" i="7"/>
  <c r="D14" i="7"/>
  <c r="D15" i="7"/>
  <c r="K4" i="2" s="1"/>
  <c r="D16" i="7"/>
  <c r="I4" i="4" s="1"/>
  <c r="D17" i="7"/>
  <c r="I4" i="5" s="1"/>
  <c r="A71" i="11" l="1"/>
  <c r="I4" i="3"/>
  <c r="A40" i="11"/>
  <c r="J4" i="1"/>
  <c r="T1" i="13"/>
  <c r="A164" i="11"/>
  <c r="T1" i="5"/>
  <c r="A133" i="11"/>
  <c r="S1" i="4"/>
  <c r="A102" i="11"/>
  <c r="U1" i="2"/>
  <c r="L1" i="3"/>
  <c r="O1" i="1"/>
  <c r="F21" i="3"/>
  <c r="B26" i="2"/>
  <c r="AP23" i="4" l="1"/>
  <c r="AM23" i="4"/>
  <c r="BD23" i="4"/>
  <c r="BG23" i="4" s="1"/>
  <c r="BI140" i="4" s="1"/>
  <c r="AO27" i="2"/>
  <c r="AO146" i="2" s="1"/>
  <c r="AQ27" i="2"/>
  <c r="AQ146" i="2" s="1"/>
  <c r="AY27" i="2"/>
  <c r="AP27" i="2"/>
  <c r="AP146" i="2" s="1"/>
  <c r="AR27" i="2"/>
  <c r="AR146" i="2" s="1"/>
  <c r="U24" i="5"/>
  <c r="B23" i="5"/>
  <c r="AO24" i="5" s="1"/>
  <c r="AO142" i="5" s="1"/>
  <c r="B22" i="3"/>
  <c r="I21" i="4"/>
  <c r="AZ23" i="4" s="1"/>
  <c r="AZ140" i="4" s="1"/>
  <c r="H21" i="4"/>
  <c r="AZ35" i="4" s="1"/>
  <c r="K26" i="2"/>
  <c r="E25" i="2"/>
  <c r="S12" i="15" l="1"/>
  <c r="H16" i="15" s="1"/>
  <c r="H12" i="15" s="1"/>
  <c r="R7" i="15"/>
  <c r="S4" i="15"/>
  <c r="S3" i="15"/>
  <c r="AQ23" i="3"/>
  <c r="AU23" i="3" s="1"/>
  <c r="AH23" i="3"/>
  <c r="AL23" i="3"/>
  <c r="AF23" i="3"/>
  <c r="AJ23" i="3"/>
  <c r="BJ23" i="4"/>
  <c r="BK140" i="4" s="1"/>
  <c r="AR23" i="4"/>
  <c r="AR140" i="4" s="1"/>
  <c r="AO23" i="4"/>
  <c r="AO140" i="4" s="1"/>
  <c r="AX24" i="5"/>
  <c r="AZ24" i="5" s="1"/>
  <c r="AZ142" i="5" s="1"/>
  <c r="AP24" i="5"/>
  <c r="AP142" i="5" s="1"/>
  <c r="AQ24" i="5"/>
  <c r="AQ142" i="5" s="1"/>
  <c r="AR24" i="5"/>
  <c r="AR142" i="5" s="1"/>
  <c r="BA27" i="2"/>
  <c r="BA146" i="2" s="1"/>
  <c r="AZ27" i="2"/>
  <c r="AZ146" i="2" s="1"/>
  <c r="F23" i="5"/>
  <c r="B165" i="11" s="1"/>
  <c r="E22" i="4"/>
  <c r="B134" i="11" s="1"/>
  <c r="V24" i="5"/>
  <c r="B10" i="11"/>
  <c r="V23" i="4"/>
  <c r="W23" i="4" s="1"/>
  <c r="AI24" i="5"/>
  <c r="Y24" i="5" s="1"/>
  <c r="AK24" i="5"/>
  <c r="AL24" i="5" s="1"/>
  <c r="T23" i="4"/>
  <c r="U23" i="4" s="1"/>
  <c r="D134" i="11" s="1"/>
  <c r="H25" i="2"/>
  <c r="AH27" i="2" s="1"/>
  <c r="F25" i="2"/>
  <c r="AI27" i="2"/>
  <c r="AK27" i="2" s="1"/>
  <c r="Z24" i="5" l="1"/>
  <c r="E165" i="11" s="1"/>
  <c r="D165" i="11"/>
  <c r="X23" i="4"/>
  <c r="S7" i="15"/>
  <c r="T7" i="15"/>
  <c r="T6" i="15"/>
  <c r="T5" i="15"/>
  <c r="R4" i="15"/>
  <c r="R3" i="15"/>
  <c r="R6" i="15"/>
  <c r="R5" i="15"/>
  <c r="S6" i="15"/>
  <c r="S5" i="15"/>
  <c r="AS23" i="3"/>
  <c r="AY24" i="5"/>
  <c r="AY142" i="5" s="1"/>
  <c r="Y23" i="4"/>
  <c r="D26" i="2"/>
  <c r="B103" i="11" s="1"/>
  <c r="D23" i="4"/>
  <c r="AK43" i="4"/>
  <c r="AK27" i="4"/>
  <c r="AK47" i="4"/>
  <c r="AK35" i="4"/>
  <c r="AK51" i="4"/>
  <c r="AK39" i="4"/>
  <c r="AK55" i="4"/>
  <c r="AK31" i="4"/>
  <c r="D24" i="5"/>
  <c r="Y2" i="5"/>
  <c r="AK23" i="4"/>
  <c r="AG27" i="2"/>
  <c r="AF27" i="2" s="1"/>
  <c r="AL27" i="2"/>
  <c r="AJ27" i="2"/>
  <c r="E21" i="3"/>
  <c r="Y23" i="3" s="1"/>
  <c r="H21" i="3"/>
  <c r="G21" i="3"/>
  <c r="E134" i="11" l="1"/>
  <c r="X3" i="4"/>
  <c r="X2" i="4"/>
  <c r="AO23" i="3"/>
  <c r="AO142" i="3" s="1"/>
  <c r="AO22" i="3"/>
  <c r="AN142" i="3" s="1"/>
  <c r="T4" i="15"/>
  <c r="T3" i="15"/>
  <c r="D22" i="3"/>
  <c r="V27" i="2"/>
  <c r="X27" i="2"/>
  <c r="Y27" i="2" s="1"/>
  <c r="Y3" i="5"/>
  <c r="O23" i="3"/>
  <c r="P23" i="3" s="1"/>
  <c r="M23" i="3"/>
  <c r="N23" i="3" s="1"/>
  <c r="D72" i="11" s="1"/>
  <c r="W23" i="3"/>
  <c r="Z23" i="3"/>
  <c r="AB23" i="3" s="1"/>
  <c r="Q10" i="15" l="1"/>
  <c r="H10" i="15" s="1"/>
  <c r="Q11" i="15"/>
  <c r="H11" i="15" s="1"/>
  <c r="AR23" i="3"/>
  <c r="AV23" i="3" s="1"/>
  <c r="AV140" i="3" s="1"/>
  <c r="AG23" i="3"/>
  <c r="AG140" i="3" s="1"/>
  <c r="AI23" i="3"/>
  <c r="AI140" i="3" s="1"/>
  <c r="AK23" i="3"/>
  <c r="AK140" i="3" s="1"/>
  <c r="AM23" i="3"/>
  <c r="AM140" i="3" s="1"/>
  <c r="F22" i="3"/>
  <c r="B72" i="11" s="1"/>
  <c r="Z27" i="2"/>
  <c r="AM27" i="2"/>
  <c r="R23" i="3"/>
  <c r="W27" i="2"/>
  <c r="D103" i="11" s="1"/>
  <c r="D328" i="11" s="1"/>
  <c r="AA23" i="3"/>
  <c r="Q23" i="3" s="1"/>
  <c r="AC23" i="3"/>
  <c r="AD23" i="3" s="1"/>
  <c r="Q3" i="3" l="1"/>
  <c r="E72" i="11"/>
  <c r="Y2" i="2"/>
  <c r="Q2" i="3"/>
  <c r="Q7" i="15"/>
  <c r="H7" i="15" s="1"/>
  <c r="AT23" i="3"/>
  <c r="AT140" i="3" s="1"/>
  <c r="Q5" i="15"/>
  <c r="H5" i="15" s="1"/>
  <c r="Q6" i="15"/>
  <c r="H6" i="15" s="1"/>
  <c r="AA27" i="2"/>
  <c r="E27" i="2"/>
  <c r="D23" i="3"/>
  <c r="E103" i="11" l="1"/>
  <c r="E328" i="11" s="1"/>
  <c r="Y3" i="2"/>
  <c r="Q4" i="15"/>
  <c r="H4" i="15" s="1"/>
  <c r="AC22" i="1"/>
  <c r="AD22" i="1"/>
  <c r="Q3" i="15" l="1"/>
  <c r="H3" i="15" s="1"/>
  <c r="AB22" i="1"/>
  <c r="S22" i="1" l="1"/>
  <c r="T22" i="1" l="1"/>
  <c r="AI22" i="1"/>
  <c r="T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Janssen</author>
  </authors>
  <commentList>
    <comment ref="O10" authorId="0" shapeId="0" xr:uid="{DE47427E-F889-421A-A938-65A6F2F605B3}">
      <text>
        <r>
          <rPr>
            <b/>
            <sz val="9"/>
            <color indexed="81"/>
            <rFont val="Tahoma"/>
            <family val="2"/>
          </rPr>
          <t xml:space="preserve">nog geen oplossing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0" authorId="0" shapeId="0" xr:uid="{6C1DA91D-6C70-4FC3-80B6-54E56F9F4C8D}">
      <text>
        <r>
          <rPr>
            <b/>
            <sz val="9"/>
            <color indexed="81"/>
            <rFont val="Tahoma"/>
            <family val="2"/>
          </rPr>
          <t xml:space="preserve">1 ophanging per artikel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0" authorId="0" shapeId="0" xr:uid="{8A1CA219-C6B0-435F-AC47-8F18C2ACD622}">
      <text>
        <r>
          <rPr>
            <b/>
            <sz val="9"/>
            <color indexed="81"/>
            <rFont val="Tahoma"/>
            <family val="2"/>
          </rPr>
          <t>2 ophangingen per bocht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0" authorId="0" shapeId="0" xr:uid="{10C78C47-AA3E-4BF4-8F0E-0A523CCFB795}">
      <text>
        <r>
          <rPr>
            <b/>
            <sz val="9"/>
            <color indexed="81"/>
            <rFont val="Tahoma"/>
            <family val="2"/>
          </rPr>
          <t>1 per artikel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<sst xmlns="http://schemas.openxmlformats.org/spreadsheetml/2006/main" count="14883" uniqueCount="244">
  <si>
    <t>SO nummer</t>
  </si>
  <si>
    <t>Version 5.0 (verkoop)</t>
  </si>
  <si>
    <t>PO nummer</t>
  </si>
  <si>
    <t>Lever datum</t>
  </si>
  <si>
    <t>Project</t>
  </si>
  <si>
    <t>Omschrijving</t>
  </si>
  <si>
    <t>Artikelcode</t>
  </si>
  <si>
    <t>aantal kanalen</t>
  </si>
  <si>
    <t>Luka m2 totaal</t>
  </si>
  <si>
    <t>Bruto verkoopprijs Totaal</t>
  </si>
  <si>
    <t>https://www.econox.nl/nl_NL/page/1873/rechthoekige-luchtkanalen/</t>
  </si>
  <si>
    <t>Total</t>
  </si>
  <si>
    <t>Minimale Lengte 100mm</t>
  </si>
  <si>
    <t>Maximale Lengte 1500mm</t>
  </si>
  <si>
    <t>Nr.</t>
  </si>
  <si>
    <t>A</t>
  </si>
  <si>
    <t>B</t>
  </si>
  <si>
    <t>Lengte</t>
  </si>
  <si>
    <t>Opmerkingen</t>
  </si>
  <si>
    <t>VB.</t>
  </si>
  <si>
    <t>None</t>
  </si>
  <si>
    <t>FL30</t>
  </si>
  <si>
    <t>VB.-RctD-1000-250-1000-FL30-FL30-Options None</t>
  </si>
  <si>
    <t>aantal</t>
  </si>
  <si>
    <t>m2</t>
  </si>
  <si>
    <t>Options None</t>
  </si>
  <si>
    <t xml:space="preserve"> </t>
  </si>
  <si>
    <t>m2/pcs</t>
  </si>
  <si>
    <t>rounded m2/pcs</t>
  </si>
  <si>
    <t>Purchase price total</t>
  </si>
  <si>
    <t>Sales price total</t>
  </si>
  <si>
    <t>Options Duct</t>
  </si>
  <si>
    <t>price /m2</t>
  </si>
  <si>
    <t xml:space="preserve">biggest size </t>
  </si>
  <si>
    <t>plate thickness</t>
  </si>
  <si>
    <t>kg/m2</t>
  </si>
  <si>
    <t>kg/pcs</t>
  </si>
  <si>
    <t>width</t>
  </si>
  <si>
    <t>bolt &amp; nuts</t>
  </si>
  <si>
    <t>Luka</t>
  </si>
  <si>
    <t>purchase</t>
  </si>
  <si>
    <t>sales</t>
  </si>
  <si>
    <t>sales fittings</t>
  </si>
  <si>
    <t>purchase ducts</t>
  </si>
  <si>
    <t>A1-A2-A3-B</t>
  </si>
  <si>
    <t>purchase fittings</t>
  </si>
  <si>
    <t>sales ducts</t>
  </si>
  <si>
    <t xml:space="preserve">type </t>
  </si>
  <si>
    <t>type</t>
  </si>
  <si>
    <t>kg/m3</t>
  </si>
  <si>
    <t>kg/m4</t>
  </si>
  <si>
    <t>kg/m5</t>
  </si>
  <si>
    <t>kg/m6</t>
  </si>
  <si>
    <t>kg/m7</t>
  </si>
  <si>
    <t>kg/m8</t>
  </si>
  <si>
    <t>kg/m9</t>
  </si>
  <si>
    <t>kg/m10</t>
  </si>
  <si>
    <t>kg/m11</t>
  </si>
  <si>
    <t>kg/m12</t>
  </si>
  <si>
    <t>kg/m13</t>
  </si>
  <si>
    <t>kg/m14</t>
  </si>
  <si>
    <t>kg/m15</t>
  </si>
  <si>
    <t>kg/m16</t>
  </si>
  <si>
    <t>kg/m17</t>
  </si>
  <si>
    <t>kg/m18</t>
  </si>
  <si>
    <t>kg/m19</t>
  </si>
  <si>
    <t>total FL20</t>
  </si>
  <si>
    <t>total FL30</t>
  </si>
  <si>
    <t>total FL40</t>
  </si>
  <si>
    <t>total none</t>
  </si>
  <si>
    <t>M8 total</t>
  </si>
  <si>
    <t>M10 total</t>
  </si>
  <si>
    <t>A1</t>
  </si>
  <si>
    <t>B1</t>
  </si>
  <si>
    <t>A2</t>
  </si>
  <si>
    <t>B2</t>
  </si>
  <si>
    <t>C</t>
  </si>
  <si>
    <t>D</t>
  </si>
  <si>
    <t>E</t>
  </si>
  <si>
    <t>F</t>
  </si>
  <si>
    <t>FL20</t>
  </si>
  <si>
    <t>VB.-RctR-1000-500-600-350-200-200-75-75-406-FL30-FL20</t>
  </si>
  <si>
    <t>minimale Lengte</t>
  </si>
  <si>
    <t>biggest size</t>
  </si>
  <si>
    <t>biggest size hypotenusa</t>
  </si>
  <si>
    <t>Hypotenusa A1-A2</t>
  </si>
  <si>
    <t>Hypotenusa B1-B2</t>
  </si>
  <si>
    <t>A1-A2</t>
  </si>
  <si>
    <t>B1-B2</t>
  </si>
  <si>
    <t>Hypotenusa A1-A3</t>
  </si>
  <si>
    <t>Hypotenusa B1-B3</t>
  </si>
  <si>
    <t>A1-A3</t>
  </si>
  <si>
    <t>B1-B3</t>
  </si>
  <si>
    <t>Hypotenusa A1-A4</t>
  </si>
  <si>
    <t>Hypotenusa B1-B4</t>
  </si>
  <si>
    <t>A1-A4</t>
  </si>
  <si>
    <t>B1-B4</t>
  </si>
  <si>
    <t>Standaard Radius</t>
  </si>
  <si>
    <t>Standaard C1</t>
  </si>
  <si>
    <t>Standaard C2</t>
  </si>
  <si>
    <r>
      <rPr>
        <b/>
        <sz val="11"/>
        <rFont val="Verdana"/>
        <family val="2"/>
      </rPr>
      <t>R</t>
    </r>
    <r>
      <rPr>
        <sz val="11"/>
        <rFont val="Verdana"/>
        <family val="2"/>
      </rPr>
      <t>adius</t>
    </r>
  </si>
  <si>
    <t>C1</t>
  </si>
  <si>
    <t>C2</t>
  </si>
  <si>
    <t>graden</t>
  </si>
  <si>
    <t>VB.-RctB-500-300-700-300-120-30-30-90-FL20-FL20-Options None</t>
  </si>
  <si>
    <t>A1-B1</t>
  </si>
  <si>
    <t>A2-B2</t>
  </si>
  <si>
    <t>A1-B2</t>
  </si>
  <si>
    <t>A2-B3</t>
  </si>
  <si>
    <t>A1-B3</t>
  </si>
  <si>
    <t>A2-B4</t>
  </si>
  <si>
    <t>A1-B4</t>
  </si>
  <si>
    <t>A2-B5</t>
  </si>
  <si>
    <t>A1-A5</t>
  </si>
  <si>
    <t>Standaard H</t>
  </si>
  <si>
    <t>Standaard I</t>
  </si>
  <si>
    <t>G</t>
  </si>
  <si>
    <t>H</t>
  </si>
  <si>
    <t>I</t>
  </si>
  <si>
    <t>VB.-RctRR-600-400-245-177,5-177,5-77,5-77,5-30-50-337-FL20</t>
  </si>
  <si>
    <t>total Lengte</t>
  </si>
  <si>
    <t>Standaard C3</t>
  </si>
  <si>
    <t>A3</t>
  </si>
  <si>
    <r>
      <t>R</t>
    </r>
    <r>
      <rPr>
        <sz val="11"/>
        <rFont val="Verdana"/>
        <family val="2"/>
      </rPr>
      <t>adius</t>
    </r>
  </si>
  <si>
    <t>C3</t>
  </si>
  <si>
    <t>VB.-RctT-500-500-1000-500-120-30-30-30-FL20-FL20-FL30-Options None</t>
  </si>
  <si>
    <t>total None</t>
  </si>
  <si>
    <t>total M8</t>
  </si>
  <si>
    <t>total M10</t>
  </si>
  <si>
    <t>Artikelnummer</t>
  </si>
  <si>
    <t>Lengte in mtr</t>
  </si>
  <si>
    <t>Vendor code</t>
  </si>
  <si>
    <t>Vendor</t>
  </si>
  <si>
    <t>inkoop</t>
  </si>
  <si>
    <t>Bruto</t>
  </si>
  <si>
    <t>Aantal</t>
  </si>
  <si>
    <t>opmerkingen</t>
  </si>
  <si>
    <t>Bout M8x25</t>
  </si>
  <si>
    <t>bij FL20 en FL30</t>
  </si>
  <si>
    <t>Moer M8</t>
  </si>
  <si>
    <t xml:space="preserve">&amp; </t>
  </si>
  <si>
    <t>2 per ophanging</t>
  </si>
  <si>
    <t>Bout M10x25</t>
  </si>
  <si>
    <t>bij FL40</t>
  </si>
  <si>
    <t>Moer M10</t>
  </si>
  <si>
    <t>kanalenband in meters</t>
  </si>
  <si>
    <t>Ring</t>
  </si>
  <si>
    <t>is 2 per ophanging 30x15</t>
  </si>
  <si>
    <t>Halteklem</t>
  </si>
  <si>
    <t>is 2 per ophanging 41/41</t>
  </si>
  <si>
    <t>Rail 30x15</t>
  </si>
  <si>
    <t>De Waal Staal BV</t>
  </si>
  <si>
    <t>t/m 999</t>
  </si>
  <si>
    <t>Rail 41x41</t>
  </si>
  <si>
    <t>vanaf 1000</t>
  </si>
  <si>
    <t>Draadstang 1 meter</t>
  </si>
  <si>
    <t>ophangingen</t>
  </si>
  <si>
    <t xml:space="preserve">Standaard Lengte </t>
  </si>
  <si>
    <t>VB.-RctS-600-300-30-FL20-Options None</t>
  </si>
  <si>
    <t>total width</t>
  </si>
  <si>
    <t>Standaard graden</t>
  </si>
  <si>
    <t>Lengte 1</t>
  </si>
  <si>
    <t>Lengte 2</t>
  </si>
  <si>
    <t>1-RctG-500-500-200-700-45-FL20-Options None</t>
  </si>
  <si>
    <t>Schuine</t>
  </si>
  <si>
    <t xml:space="preserve">Hoogte </t>
  </si>
  <si>
    <t>zijde</t>
  </si>
  <si>
    <t>verschil</t>
  </si>
  <si>
    <t>m3</t>
  </si>
  <si>
    <t>m4</t>
  </si>
  <si>
    <t>1-RctS-1000-400-100-FL30-Options None</t>
  </si>
  <si>
    <t>VB.-RctJ-500-250-600-250-30-30-300-0-0-753-FL20-Options None</t>
  </si>
  <si>
    <t>D2</t>
  </si>
  <si>
    <t>D3</t>
  </si>
  <si>
    <t>D4</t>
  </si>
  <si>
    <t>Advies Luka maximaal breedte kanaal (A)</t>
  </si>
  <si>
    <t>300mm</t>
  </si>
  <si>
    <t xml:space="preserve">Advies Luka maximale oppervlakte klepblad </t>
  </si>
  <si>
    <t>0,09m2</t>
  </si>
  <si>
    <t>klepblad 0,8mm</t>
  </si>
  <si>
    <t>L1</t>
  </si>
  <si>
    <t xml:space="preserve">opp. klepblad </t>
  </si>
  <si>
    <t xml:space="preserve">Bediening </t>
  </si>
  <si>
    <t>D1</t>
  </si>
  <si>
    <t>E1</t>
  </si>
  <si>
    <t>F1</t>
  </si>
  <si>
    <t>G1</t>
  </si>
  <si>
    <t>Lengte1</t>
  </si>
  <si>
    <t>E2</t>
  </si>
  <si>
    <t>F2</t>
  </si>
  <si>
    <t>G2</t>
  </si>
  <si>
    <t>Lengte2</t>
  </si>
  <si>
    <t>Lengte3</t>
  </si>
  <si>
    <t xml:space="preserve"> Nr.</t>
  </si>
  <si>
    <t>Hypotenusa A1-A5</t>
  </si>
  <si>
    <t>Hypotenusa B1-B5</t>
  </si>
  <si>
    <t>Options flanges</t>
  </si>
  <si>
    <t xml:space="preserve">Flenstype </t>
  </si>
  <si>
    <t>min</t>
  </si>
  <si>
    <t>max</t>
  </si>
  <si>
    <t>FL20 loose</t>
  </si>
  <si>
    <t>Select flange</t>
  </si>
  <si>
    <t>FL30 loose</t>
  </si>
  <si>
    <t>FL40 loose</t>
  </si>
  <si>
    <t>none</t>
  </si>
  <si>
    <t>FL40</t>
  </si>
  <si>
    <t>minimale m2</t>
  </si>
  <si>
    <t>total name</t>
  </si>
  <si>
    <t>Rechte Kanalen</t>
  </si>
  <si>
    <t>RctD</t>
  </si>
  <si>
    <t>Total aantal of</t>
  </si>
  <si>
    <t>Verloopstukken</t>
  </si>
  <si>
    <t>RctR</t>
  </si>
  <si>
    <t>Total purchase price</t>
  </si>
  <si>
    <t>Bochten</t>
  </si>
  <si>
    <t>RctB</t>
  </si>
  <si>
    <t>Total sales price</t>
  </si>
  <si>
    <t>Verlopen Recht-Rond</t>
  </si>
  <si>
    <t>RctRR</t>
  </si>
  <si>
    <t>T-stukken</t>
  </si>
  <si>
    <t>RctT</t>
  </si>
  <si>
    <t>Deksels</t>
  </si>
  <si>
    <t>RctE</t>
  </si>
  <si>
    <t>Eindstukken Gaas 45</t>
  </si>
  <si>
    <t>RctG</t>
  </si>
  <si>
    <t>Rechte Aftakkingen</t>
  </si>
  <si>
    <t>RctS</t>
  </si>
  <si>
    <t>Sprongstukken</t>
  </si>
  <si>
    <t>RctJ</t>
  </si>
  <si>
    <t>Kanalen met Klep</t>
  </si>
  <si>
    <t>RctV</t>
  </si>
  <si>
    <t>Kattenruggen</t>
  </si>
  <si>
    <t>RctK</t>
  </si>
  <si>
    <t>afmeting</t>
  </si>
  <si>
    <t>Bruto verkoopprijs</t>
  </si>
  <si>
    <t>Plaatdikte</t>
  </si>
  <si>
    <t>prijs/m2</t>
  </si>
  <si>
    <t>mm</t>
  </si>
  <si>
    <t>Galv.</t>
  </si>
  <si>
    <t>Options Ducts</t>
  </si>
  <si>
    <t>Thermoduct 9mm</t>
  </si>
  <si>
    <t>Powder coating</t>
  </si>
  <si>
    <t>Bitumen Inside</t>
  </si>
  <si>
    <t>Foil open 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</si>
</sst>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3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rgb="FFFF0000"/>
      <name val="Verdana"/>
      <family val="2"/>
    </font>
    <font>
      <sz val="11"/>
      <color rgb="FF9C0006"/>
      <name val="Calibri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6"/>
      <name val="Verdana"/>
      <family val="2"/>
    </font>
    <font>
      <b/>
      <sz val="16"/>
      <name val="Aptos Narrow"/>
      <family val="2"/>
      <scheme val="minor"/>
    </font>
    <font>
      <sz val="8"/>
      <name val="Verdana"/>
      <family val="2"/>
    </font>
    <font>
      <sz val="11"/>
      <name val="Aptos Narrow"/>
      <family val="2"/>
      <scheme val="minor"/>
    </font>
    <font>
      <sz val="6"/>
      <name val="Verdana"/>
      <family val="2"/>
    </font>
    <font>
      <b/>
      <sz val="11"/>
      <name val="Aptos Narrow"/>
      <family val="2"/>
      <scheme val="minor"/>
    </font>
    <font>
      <sz val="7.5"/>
      <name val="Verdana"/>
      <family val="2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sz val="6.5"/>
      <name val="Verdana"/>
      <family val="2"/>
    </font>
    <font>
      <sz val="7"/>
      <name val="Verdana"/>
      <family val="2"/>
    </font>
    <font>
      <b/>
      <sz val="8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ptos Narrow"/>
      <family val="2"/>
      <scheme val="minor"/>
    </font>
    <font>
      <sz val="11"/>
      <color theme="1"/>
      <name val="Veradana"/>
    </font>
    <font>
      <b/>
      <sz val="7.5"/>
      <color theme="1"/>
      <name val="Verdana"/>
      <family val="2"/>
    </font>
    <font>
      <u/>
      <sz val="11"/>
      <color theme="10"/>
      <name val="Aptos Narrow"/>
      <family val="2"/>
      <scheme val="minor"/>
    </font>
    <font>
      <b/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53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4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21" xfId="0" applyFont="1" applyBorder="1" applyAlignment="1">
      <alignment horizontal="center" vertical="center"/>
    </xf>
    <xf numFmtId="44" fontId="5" fillId="0" borderId="24" xfId="0" applyNumberFormat="1" applyFont="1" applyBorder="1" applyAlignment="1">
      <alignment horizontal="center" vertical="center"/>
    </xf>
    <xf numFmtId="44" fontId="5" fillId="0" borderId="2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44" fontId="5" fillId="0" borderId="25" xfId="0" applyNumberFormat="1" applyFont="1" applyBorder="1"/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4" fillId="0" borderId="38" xfId="0" applyFont="1" applyBorder="1" applyAlignment="1">
      <alignment horizontal="center"/>
    </xf>
    <xf numFmtId="0" fontId="4" fillId="0" borderId="62" xfId="0" applyFont="1" applyBorder="1"/>
    <xf numFmtId="0" fontId="5" fillId="0" borderId="63" xfId="0" applyFont="1" applyBorder="1"/>
    <xf numFmtId="0" fontId="5" fillId="0" borderId="59" xfId="0" applyFont="1" applyBorder="1"/>
    <xf numFmtId="0" fontId="5" fillId="0" borderId="60" xfId="0" applyFont="1" applyBorder="1"/>
    <xf numFmtId="0" fontId="5" fillId="0" borderId="62" xfId="0" applyFont="1" applyBorder="1"/>
    <xf numFmtId="0" fontId="5" fillId="0" borderId="64" xfId="0" applyFont="1" applyBorder="1"/>
    <xf numFmtId="0" fontId="4" fillId="0" borderId="65" xfId="0" applyFont="1" applyBorder="1"/>
    <xf numFmtId="0" fontId="5" fillId="0" borderId="65" xfId="0" applyFont="1" applyBorder="1"/>
    <xf numFmtId="0" fontId="5" fillId="0" borderId="29" xfId="0" applyFont="1" applyBorder="1"/>
    <xf numFmtId="0" fontId="4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44" fontId="5" fillId="0" borderId="29" xfId="0" applyNumberFormat="1" applyFont="1" applyBorder="1" applyAlignment="1">
      <alignment horizontal="center" vertical="center"/>
    </xf>
    <xf numFmtId="44" fontId="5" fillId="0" borderId="28" xfId="0" applyNumberFormat="1" applyFont="1" applyBorder="1" applyAlignment="1">
      <alignment horizontal="center" vertical="center"/>
    </xf>
    <xf numFmtId="44" fontId="5" fillId="0" borderId="29" xfId="0" applyNumberFormat="1" applyFont="1" applyBorder="1"/>
    <xf numFmtId="44" fontId="5" fillId="0" borderId="28" xfId="0" applyNumberFormat="1" applyFont="1" applyBorder="1"/>
    <xf numFmtId="0" fontId="5" fillId="0" borderId="21" xfId="0" applyFont="1" applyBorder="1" applyProtection="1">
      <protection hidden="1"/>
    </xf>
    <xf numFmtId="0" fontId="5" fillId="0" borderId="22" xfId="0" applyFont="1" applyBorder="1" applyProtection="1">
      <protection hidden="1"/>
    </xf>
    <xf numFmtId="0" fontId="5" fillId="0" borderId="23" xfId="0" applyFont="1" applyBorder="1" applyProtection="1">
      <protection hidden="1"/>
    </xf>
    <xf numFmtId="0" fontId="5" fillId="0" borderId="0" xfId="0" applyFont="1" applyProtection="1">
      <protection hidden="1"/>
    </xf>
    <xf numFmtId="0" fontId="4" fillId="0" borderId="21" xfId="0" applyFont="1" applyBorder="1" applyProtection="1">
      <protection hidden="1"/>
    </xf>
    <xf numFmtId="0" fontId="4" fillId="0" borderId="23" xfId="0" applyFont="1" applyBorder="1" applyAlignment="1" applyProtection="1">
      <alignment horizontal="center"/>
      <protection hidden="1"/>
    </xf>
    <xf numFmtId="0" fontId="5" fillId="0" borderId="24" xfId="0" applyFont="1" applyBorder="1" applyProtection="1">
      <protection hidden="1"/>
    </xf>
    <xf numFmtId="0" fontId="5" fillId="0" borderId="25" xfId="0" applyFont="1" applyBorder="1" applyProtection="1">
      <protection hidden="1"/>
    </xf>
    <xf numFmtId="0" fontId="4" fillId="0" borderId="24" xfId="0" applyFont="1" applyBorder="1" applyProtection="1">
      <protection hidden="1"/>
    </xf>
    <xf numFmtId="44" fontId="4" fillId="0" borderId="25" xfId="0" applyNumberFormat="1" applyFont="1" applyBorder="1" applyProtection="1">
      <protection hidden="1"/>
    </xf>
    <xf numFmtId="0" fontId="4" fillId="0" borderId="26" xfId="0" applyFont="1" applyBorder="1" applyProtection="1">
      <protection hidden="1"/>
    </xf>
    <xf numFmtId="0" fontId="5" fillId="0" borderId="14" xfId="0" applyFont="1" applyBorder="1" applyProtection="1">
      <protection hidden="1"/>
    </xf>
    <xf numFmtId="44" fontId="4" fillId="0" borderId="27" xfId="0" applyNumberFormat="1" applyFont="1" applyBorder="1" applyProtection="1">
      <protection hidden="1"/>
    </xf>
    <xf numFmtId="0" fontId="11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5" fillId="0" borderId="26" xfId="0" applyFont="1" applyBorder="1" applyProtection="1">
      <protection hidden="1"/>
    </xf>
    <xf numFmtId="0" fontId="5" fillId="0" borderId="27" xfId="0" applyFont="1" applyBorder="1" applyProtection="1">
      <protection hidden="1"/>
    </xf>
    <xf numFmtId="0" fontId="12" fillId="0" borderId="17" xfId="0" applyFont="1" applyBorder="1" applyAlignment="1" applyProtection="1">
      <alignment horizontal="center"/>
      <protection hidden="1"/>
    </xf>
    <xf numFmtId="0" fontId="12" fillId="0" borderId="18" xfId="0" applyFont="1" applyBorder="1" applyAlignment="1" applyProtection="1">
      <alignment horizontal="center"/>
      <protection hidden="1"/>
    </xf>
    <xf numFmtId="0" fontId="13" fillId="0" borderId="18" xfId="0" applyFont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center"/>
      <protection hidden="1"/>
    </xf>
    <xf numFmtId="0" fontId="13" fillId="0" borderId="2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3" fillId="0" borderId="7" xfId="0" applyFont="1" applyBorder="1" applyAlignment="1" applyProtection="1">
      <alignment horizontal="center"/>
      <protection hidden="1"/>
    </xf>
    <xf numFmtId="0" fontId="13" fillId="0" borderId="22" xfId="0" applyFont="1" applyBorder="1" applyAlignment="1" applyProtection="1">
      <alignment horizontal="center"/>
      <protection hidden="1"/>
    </xf>
    <xf numFmtId="0" fontId="13" fillId="0" borderId="23" xfId="0" applyFont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6" fillId="2" borderId="4" xfId="0" applyFont="1" applyFill="1" applyBorder="1" applyAlignment="1" applyProtection="1">
      <alignment horizontal="left"/>
      <protection hidden="1"/>
    </xf>
    <xf numFmtId="0" fontId="13" fillId="2" borderId="32" xfId="0" applyFont="1" applyFill="1" applyBorder="1" applyAlignment="1" applyProtection="1">
      <alignment horizontal="center"/>
      <protection hidden="1"/>
    </xf>
    <xf numFmtId="0" fontId="13" fillId="2" borderId="54" xfId="0" applyFont="1" applyFill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center"/>
      <protection hidden="1"/>
    </xf>
    <xf numFmtId="0" fontId="13" fillId="0" borderId="13" xfId="0" applyFont="1" applyBorder="1" applyAlignment="1" applyProtection="1">
      <alignment horizontal="center"/>
      <protection hidden="1"/>
    </xf>
    <xf numFmtId="2" fontId="12" fillId="2" borderId="12" xfId="0" applyNumberFormat="1" applyFont="1" applyFill="1" applyBorder="1" applyAlignment="1" applyProtection="1">
      <alignment horizontal="center"/>
      <protection hidden="1"/>
    </xf>
    <xf numFmtId="0" fontId="13" fillId="2" borderId="13" xfId="0" applyFont="1" applyFill="1" applyBorder="1" applyAlignment="1" applyProtection="1">
      <alignment horizontal="center"/>
      <protection hidden="1"/>
    </xf>
    <xf numFmtId="0" fontId="13" fillId="0" borderId="7" xfId="0" applyFont="1" applyBorder="1" applyAlignment="1" applyProtection="1">
      <alignment horizontal="center"/>
      <protection locked="0" hidden="1"/>
    </xf>
    <xf numFmtId="0" fontId="4" fillId="0" borderId="21" xfId="0" applyFont="1" applyBorder="1" applyAlignment="1" applyProtection="1">
      <alignment horizontal="center"/>
      <protection hidden="1"/>
    </xf>
    <xf numFmtId="0" fontId="4" fillId="0" borderId="8" xfId="0" applyFont="1" applyBorder="1" applyAlignment="1" applyProtection="1">
      <alignment horizontal="center"/>
      <protection hidden="1"/>
    </xf>
    <xf numFmtId="0" fontId="4" fillId="0" borderId="22" xfId="0" applyFont="1" applyBorder="1" applyAlignment="1" applyProtection="1">
      <alignment horizontal="center"/>
      <protection hidden="1"/>
    </xf>
    <xf numFmtId="0" fontId="4" fillId="0" borderId="8" xfId="0" applyFont="1" applyBorder="1" applyProtection="1">
      <protection hidden="1"/>
    </xf>
    <xf numFmtId="0" fontId="4" fillId="0" borderId="41" xfId="0" applyFont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locked="0" hidden="1"/>
    </xf>
    <xf numFmtId="0" fontId="5" fillId="0" borderId="24" xfId="0" applyFont="1" applyBorder="1" applyAlignment="1" applyProtection="1">
      <alignment horizontal="center"/>
      <protection hidden="1"/>
    </xf>
    <xf numFmtId="0" fontId="7" fillId="0" borderId="28" xfId="0" applyFont="1" applyBorder="1" applyAlignment="1" applyProtection="1">
      <alignment horizontal="center"/>
      <protection hidden="1"/>
    </xf>
    <xf numFmtId="0" fontId="5" fillId="0" borderId="39" xfId="0" applyFont="1" applyBorder="1" applyAlignment="1" applyProtection="1">
      <alignment horizontal="center"/>
      <protection hidden="1"/>
    </xf>
    <xf numFmtId="0" fontId="5" fillId="0" borderId="61" xfId="0" applyFont="1" applyBorder="1" applyAlignment="1" applyProtection="1">
      <alignment horizontal="center"/>
      <protection hidden="1"/>
    </xf>
    <xf numFmtId="0" fontId="7" fillId="0" borderId="28" xfId="0" applyFont="1" applyBorder="1" applyProtection="1">
      <protection hidden="1"/>
    </xf>
    <xf numFmtId="0" fontId="5" fillId="0" borderId="28" xfId="0" applyFont="1" applyBorder="1" applyAlignment="1" applyProtection="1">
      <alignment horizontal="center"/>
      <protection hidden="1"/>
    </xf>
    <xf numFmtId="0" fontId="5" fillId="0" borderId="30" xfId="0" applyFont="1" applyBorder="1" applyAlignment="1" applyProtection="1">
      <alignment horizontal="center"/>
      <protection hidden="1"/>
    </xf>
    <xf numFmtId="0" fontId="13" fillId="0" borderId="13" xfId="0" applyFont="1" applyBorder="1" applyAlignment="1" applyProtection="1">
      <alignment horizontal="center"/>
      <protection locked="0" hidden="1"/>
    </xf>
    <xf numFmtId="0" fontId="5" fillId="0" borderId="26" xfId="0" applyFont="1" applyBorder="1" applyAlignment="1" applyProtection="1">
      <alignment horizontal="center"/>
      <protection hidden="1"/>
    </xf>
    <xf numFmtId="2" fontId="5" fillId="0" borderId="40" xfId="0" applyNumberFormat="1" applyFont="1" applyBorder="1" applyAlignment="1" applyProtection="1">
      <alignment horizontal="center"/>
      <protection hidden="1"/>
    </xf>
    <xf numFmtId="164" fontId="6" fillId="0" borderId="40" xfId="0" applyNumberFormat="1" applyFont="1" applyBorder="1" applyAlignment="1" applyProtection="1">
      <alignment horizontal="center"/>
      <protection hidden="1"/>
    </xf>
    <xf numFmtId="164" fontId="6" fillId="0" borderId="27" xfId="0" applyNumberFormat="1" applyFont="1" applyBorder="1" applyAlignment="1" applyProtection="1">
      <alignment horizontal="center"/>
      <protection hidden="1"/>
    </xf>
    <xf numFmtId="164" fontId="13" fillId="0" borderId="14" xfId="0" applyNumberFormat="1" applyFont="1" applyBorder="1" applyAlignment="1" applyProtection="1">
      <alignment horizontal="center"/>
      <protection hidden="1"/>
    </xf>
    <xf numFmtId="44" fontId="13" fillId="0" borderId="14" xfId="0" applyNumberFormat="1" applyFont="1" applyBorder="1" applyAlignment="1" applyProtection="1">
      <alignment horizontal="center"/>
      <protection hidden="1"/>
    </xf>
    <xf numFmtId="7" fontId="5" fillId="0" borderId="43" xfId="0" applyNumberFormat="1" applyFont="1" applyBorder="1" applyAlignment="1" applyProtection="1">
      <alignment horizontal="center"/>
      <protection hidden="1"/>
    </xf>
    <xf numFmtId="164" fontId="5" fillId="0" borderId="13" xfId="0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2" fontId="5" fillId="0" borderId="13" xfId="0" applyNumberFormat="1" applyFont="1" applyBorder="1" applyAlignment="1" applyProtection="1">
      <alignment horizontal="center"/>
      <protection hidden="1"/>
    </xf>
    <xf numFmtId="2" fontId="5" fillId="0" borderId="27" xfId="0" applyNumberFormat="1" applyFont="1" applyBorder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12" fillId="2" borderId="12" xfId="0" applyFont="1" applyFill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13" fillId="0" borderId="19" xfId="0" applyFont="1" applyBorder="1" applyAlignment="1" applyProtection="1">
      <alignment horizontal="center"/>
      <protection hidden="1"/>
    </xf>
    <xf numFmtId="1" fontId="13" fillId="0" borderId="7" xfId="0" applyNumberFormat="1" applyFont="1" applyBorder="1" applyAlignment="1" applyProtection="1">
      <alignment horizontal="center"/>
      <protection hidden="1"/>
    </xf>
    <xf numFmtId="1" fontId="13" fillId="2" borderId="7" xfId="0" applyNumberFormat="1" applyFont="1" applyFill="1" applyBorder="1" applyAlignment="1" applyProtection="1">
      <alignment horizontal="center"/>
      <protection hidden="1"/>
    </xf>
    <xf numFmtId="1" fontId="13" fillId="0" borderId="8" xfId="0" applyNumberFormat="1" applyFont="1" applyBorder="1" applyAlignment="1" applyProtection="1">
      <alignment horizontal="center"/>
      <protection hidden="1"/>
    </xf>
    <xf numFmtId="1" fontId="13" fillId="2" borderId="8" xfId="0" applyNumberFormat="1" applyFont="1" applyFill="1" applyBorder="1" applyAlignment="1" applyProtection="1">
      <alignment horizontal="center"/>
      <protection hidden="1"/>
    </xf>
    <xf numFmtId="0" fontId="13" fillId="0" borderId="30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24" fillId="0" borderId="0" xfId="0" applyFont="1" applyAlignment="1" applyProtection="1">
      <alignment horizontal="left"/>
      <protection hidden="1"/>
    </xf>
    <xf numFmtId="1" fontId="12" fillId="2" borderId="10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3" fillId="0" borderId="20" xfId="0" applyFont="1" applyBorder="1" applyProtection="1">
      <protection hidden="1"/>
    </xf>
    <xf numFmtId="0" fontId="13" fillId="0" borderId="33" xfId="0" applyFont="1" applyBorder="1" applyAlignment="1" applyProtection="1">
      <alignment horizontal="center"/>
      <protection hidden="1"/>
    </xf>
    <xf numFmtId="0" fontId="13" fillId="0" borderId="14" xfId="0" applyFont="1" applyBorder="1" applyProtection="1">
      <protection hidden="1"/>
    </xf>
    <xf numFmtId="2" fontId="12" fillId="2" borderId="20" xfId="0" applyNumberFormat="1" applyFont="1" applyFill="1" applyBorder="1" applyAlignment="1" applyProtection="1">
      <alignment horizontal="center"/>
      <protection hidden="1"/>
    </xf>
    <xf numFmtId="0" fontId="12" fillId="2" borderId="13" xfId="0" applyFont="1" applyFill="1" applyBorder="1" applyAlignment="1" applyProtection="1">
      <alignment horizontal="center"/>
      <protection hidden="1"/>
    </xf>
    <xf numFmtId="2" fontId="5" fillId="0" borderId="0" xfId="0" applyNumberFormat="1" applyFont="1" applyAlignment="1" applyProtection="1">
      <alignment horizontal="center"/>
      <protection hidden="1"/>
    </xf>
    <xf numFmtId="164" fontId="6" fillId="0" borderId="0" xfId="0" applyNumberFormat="1" applyFont="1" applyAlignment="1" applyProtection="1">
      <alignment horizontal="center"/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0" fontId="13" fillId="0" borderId="24" xfId="0" applyFont="1" applyBorder="1" applyProtection="1">
      <protection hidden="1"/>
    </xf>
    <xf numFmtId="0" fontId="13" fillId="0" borderId="25" xfId="0" applyFont="1" applyBorder="1" applyProtection="1">
      <protection hidden="1"/>
    </xf>
    <xf numFmtId="1" fontId="13" fillId="0" borderId="7" xfId="0" applyNumberFormat="1" applyFont="1" applyBorder="1" applyAlignment="1" applyProtection="1">
      <alignment horizontal="center"/>
      <protection locked="0" hidden="1"/>
    </xf>
    <xf numFmtId="1" fontId="12" fillId="2" borderId="7" xfId="0" applyNumberFormat="1" applyFont="1" applyFill="1" applyBorder="1" applyAlignment="1" applyProtection="1">
      <alignment horizontal="center"/>
      <protection hidden="1"/>
    </xf>
    <xf numFmtId="1" fontId="13" fillId="0" borderId="8" xfId="0" applyNumberFormat="1" applyFont="1" applyBorder="1" applyAlignment="1" applyProtection="1">
      <alignment horizontal="center"/>
      <protection locked="0" hidden="1"/>
    </xf>
    <xf numFmtId="1" fontId="12" fillId="2" borderId="8" xfId="0" applyNumberFormat="1" applyFont="1" applyFill="1" applyBorder="1" applyAlignment="1" applyProtection="1">
      <alignment horizontal="center"/>
      <protection hidden="1"/>
    </xf>
    <xf numFmtId="1" fontId="13" fillId="0" borderId="31" xfId="0" applyNumberFormat="1" applyFont="1" applyBorder="1" applyAlignment="1" applyProtection="1">
      <alignment horizontal="center"/>
      <protection locked="0" hidden="1"/>
    </xf>
    <xf numFmtId="0" fontId="0" fillId="0" borderId="0" xfId="0" applyProtection="1">
      <protection hidden="1"/>
    </xf>
    <xf numFmtId="0" fontId="12" fillId="0" borderId="22" xfId="0" applyFont="1" applyBorder="1" applyAlignment="1" applyProtection="1">
      <alignment horizontal="center"/>
      <protection hidden="1"/>
    </xf>
    <xf numFmtId="0" fontId="4" fillId="0" borderId="6" xfId="0" applyFont="1" applyBorder="1" applyProtection="1">
      <protection hidden="1"/>
    </xf>
    <xf numFmtId="0" fontId="13" fillId="0" borderId="61" xfId="0" applyFont="1" applyBorder="1" applyAlignment="1" applyProtection="1">
      <alignment horizontal="center"/>
      <protection hidden="1"/>
    </xf>
    <xf numFmtId="0" fontId="7" fillId="0" borderId="42" xfId="0" applyFont="1" applyBorder="1" applyAlignment="1" applyProtection="1">
      <alignment horizontal="center"/>
      <protection hidden="1"/>
    </xf>
    <xf numFmtId="0" fontId="13" fillId="0" borderId="33" xfId="0" applyFont="1" applyBorder="1" applyAlignment="1" applyProtection="1">
      <alignment horizontal="center"/>
      <protection locked="0" hidden="1"/>
    </xf>
    <xf numFmtId="0" fontId="5" fillId="0" borderId="40" xfId="0" applyFont="1" applyBorder="1" applyAlignment="1" applyProtection="1">
      <alignment horizontal="center"/>
      <protection hidden="1"/>
    </xf>
    <xf numFmtId="1" fontId="5" fillId="0" borderId="43" xfId="0" applyNumberFormat="1" applyFont="1" applyBorder="1" applyAlignment="1" applyProtection="1">
      <alignment horizontal="center"/>
      <protection hidden="1"/>
    </xf>
    <xf numFmtId="1" fontId="5" fillId="0" borderId="13" xfId="0" applyNumberFormat="1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25" xfId="0" applyFont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 vertical="center"/>
      <protection hidden="1"/>
    </xf>
    <xf numFmtId="0" fontId="13" fillId="2" borderId="7" xfId="0" applyFont="1" applyFill="1" applyBorder="1" applyAlignment="1" applyProtection="1">
      <alignment horizontal="center"/>
      <protection hidden="1"/>
    </xf>
    <xf numFmtId="0" fontId="13" fillId="0" borderId="31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23" fillId="2" borderId="0" xfId="0" applyFont="1" applyFill="1" applyAlignment="1" applyProtection="1">
      <alignment horizontal="left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3" fillId="2" borderId="25" xfId="0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" fontId="13" fillId="2" borderId="7" xfId="0" applyNumberFormat="1" applyFont="1" applyFill="1" applyBorder="1" applyAlignment="1" applyProtection="1">
      <alignment horizontal="center"/>
      <protection locked="0" hidden="1"/>
    </xf>
    <xf numFmtId="0" fontId="13" fillId="0" borderId="31" xfId="0" applyFont="1" applyBorder="1" applyAlignment="1" applyProtection="1">
      <alignment horizontal="center"/>
      <protection locked="0" hidden="1"/>
    </xf>
    <xf numFmtId="0" fontId="16" fillId="2" borderId="0" xfId="0" applyFont="1" applyFill="1" applyAlignment="1" applyProtection="1">
      <alignment horizontal="center"/>
      <protection hidden="1"/>
    </xf>
    <xf numFmtId="0" fontId="5" fillId="0" borderId="43" xfId="0" applyFont="1" applyBorder="1" applyAlignment="1" applyProtection="1">
      <alignment horizontal="center"/>
      <protection hidden="1"/>
    </xf>
    <xf numFmtId="0" fontId="5" fillId="0" borderId="25" xfId="0" applyFont="1" applyBorder="1" applyAlignment="1" applyProtection="1">
      <alignment horizontal="center"/>
      <protection locked="0" hidden="1"/>
    </xf>
    <xf numFmtId="0" fontId="4" fillId="0" borderId="14" xfId="0" applyFont="1" applyBorder="1" applyProtection="1">
      <protection hidden="1"/>
    </xf>
    <xf numFmtId="0" fontId="13" fillId="0" borderId="28" xfId="0" applyFont="1" applyBorder="1" applyAlignment="1" applyProtection="1">
      <alignment horizontal="center"/>
      <protection hidden="1"/>
    </xf>
    <xf numFmtId="0" fontId="13" fillId="2" borderId="28" xfId="0" applyFont="1" applyFill="1" applyBorder="1" applyAlignment="1" applyProtection="1">
      <alignment horizontal="center"/>
      <protection hidden="1"/>
    </xf>
    <xf numFmtId="1" fontId="12" fillId="0" borderId="10" xfId="0" applyNumberFormat="1" applyFont="1" applyBorder="1" applyAlignment="1" applyProtection="1">
      <alignment horizontal="center"/>
      <protection hidden="1"/>
    </xf>
    <xf numFmtId="0" fontId="13" fillId="0" borderId="12" xfId="0" applyFont="1" applyBorder="1" applyProtection="1">
      <protection hidden="1"/>
    </xf>
    <xf numFmtId="2" fontId="12" fillId="0" borderId="12" xfId="0" applyNumberFormat="1" applyFont="1" applyBorder="1" applyAlignment="1" applyProtection="1">
      <alignment horizontal="center"/>
      <protection hidden="1"/>
    </xf>
    <xf numFmtId="0" fontId="12" fillId="0" borderId="13" xfId="0" applyFont="1" applyBorder="1" applyAlignment="1" applyProtection="1">
      <alignment horizontal="center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left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  <protection locked="0" hidden="1"/>
    </xf>
    <xf numFmtId="0" fontId="12" fillId="0" borderId="17" xfId="0" applyFont="1" applyBorder="1" applyAlignment="1" applyProtection="1">
      <alignment horizontal="center" vertical="center"/>
      <protection hidden="1"/>
    </xf>
    <xf numFmtId="0" fontId="12" fillId="0" borderId="18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vertical="center"/>
      <protection hidden="1"/>
    </xf>
    <xf numFmtId="0" fontId="13" fillId="2" borderId="31" xfId="0" applyFont="1" applyFill="1" applyBorder="1" applyAlignment="1" applyProtection="1">
      <alignment horizontal="center"/>
      <protection hidden="1"/>
    </xf>
    <xf numFmtId="0" fontId="12" fillId="2" borderId="28" xfId="0" applyFont="1" applyFill="1" applyBorder="1" applyAlignment="1" applyProtection="1">
      <alignment horizontal="center"/>
      <protection hidden="1"/>
    </xf>
    <xf numFmtId="0" fontId="12" fillId="2" borderId="29" xfId="0" applyFont="1" applyFill="1" applyBorder="1" applyAlignment="1" applyProtection="1">
      <alignment horizontal="center"/>
      <protection hidden="1"/>
    </xf>
    <xf numFmtId="0" fontId="13" fillId="2" borderId="25" xfId="0" applyFont="1" applyFill="1" applyBorder="1" applyProtection="1">
      <protection hidden="1"/>
    </xf>
    <xf numFmtId="0" fontId="12" fillId="0" borderId="15" xfId="0" applyFont="1" applyBorder="1" applyAlignment="1" applyProtection="1">
      <alignment horizontal="center"/>
      <protection hidden="1"/>
    </xf>
    <xf numFmtId="0" fontId="13" fillId="0" borderId="24" xfId="0" applyFont="1" applyBorder="1" applyAlignment="1" applyProtection="1">
      <alignment horizontal="center"/>
      <protection hidden="1"/>
    </xf>
    <xf numFmtId="0" fontId="12" fillId="2" borderId="28" xfId="0" applyFont="1" applyFill="1" applyBorder="1" applyAlignment="1" applyProtection="1">
      <alignment horizontal="center"/>
      <protection locked="0" hidden="1"/>
    </xf>
    <xf numFmtId="0" fontId="12" fillId="2" borderId="29" xfId="0" applyFont="1" applyFill="1" applyBorder="1" applyAlignment="1" applyProtection="1">
      <alignment horizontal="center"/>
      <protection locked="0" hidden="1"/>
    </xf>
    <xf numFmtId="0" fontId="20" fillId="2" borderId="0" xfId="0" applyFont="1" applyFill="1" applyAlignment="1" applyProtection="1">
      <alignment horizontal="left"/>
      <protection hidden="1"/>
    </xf>
    <xf numFmtId="0" fontId="0" fillId="0" borderId="21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5" xfId="0" applyBorder="1" applyAlignment="1" applyProtection="1">
      <alignment horizontal="left"/>
      <protection locked="0" hidden="1"/>
    </xf>
    <xf numFmtId="0" fontId="0" fillId="0" borderId="26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27" xfId="0" applyBorder="1" applyProtection="1">
      <protection hidden="1"/>
    </xf>
    <xf numFmtId="0" fontId="19" fillId="0" borderId="17" xfId="0" applyFont="1" applyBorder="1" applyAlignment="1" applyProtection="1">
      <alignment horizontal="center"/>
      <protection hidden="1"/>
    </xf>
    <xf numFmtId="0" fontId="19" fillId="0" borderId="18" xfId="0" applyFont="1" applyBorder="1" applyAlignment="1" applyProtection="1">
      <alignment horizontal="center"/>
      <protection hidden="1"/>
    </xf>
    <xf numFmtId="0" fontId="17" fillId="0" borderId="18" xfId="0" applyFont="1" applyBorder="1" applyAlignment="1" applyProtection="1">
      <alignment horizontal="center"/>
      <protection hidden="1"/>
    </xf>
    <xf numFmtId="0" fontId="17" fillId="0" borderId="1" xfId="0" applyFont="1" applyBorder="1" applyAlignment="1" applyProtection="1">
      <alignment horizontal="center"/>
      <protection hidden="1"/>
    </xf>
    <xf numFmtId="0" fontId="17" fillId="0" borderId="2" xfId="0" applyFont="1" applyBorder="1" applyAlignment="1" applyProtection="1">
      <alignment horizontal="center"/>
      <protection hidden="1"/>
    </xf>
    <xf numFmtId="0" fontId="17" fillId="0" borderId="7" xfId="0" applyFont="1" applyBorder="1" applyAlignment="1" applyProtection="1">
      <alignment horizontal="center"/>
      <protection hidden="1"/>
    </xf>
    <xf numFmtId="0" fontId="17" fillId="2" borderId="7" xfId="0" applyFont="1" applyFill="1" applyBorder="1" applyAlignment="1" applyProtection="1">
      <alignment horizontal="center"/>
      <protection hidden="1"/>
    </xf>
    <xf numFmtId="0" fontId="17" fillId="0" borderId="22" xfId="0" applyFont="1" applyBorder="1" applyAlignment="1" applyProtection="1">
      <alignment horizontal="center"/>
      <protection hidden="1"/>
    </xf>
    <xf numFmtId="0" fontId="17" fillId="0" borderId="23" xfId="0" applyFont="1" applyBorder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7" fillId="2" borderId="4" xfId="0" applyFont="1" applyFill="1" applyBorder="1" applyAlignment="1" applyProtection="1">
      <alignment horizontal="left"/>
      <protection hidden="1"/>
    </xf>
    <xf numFmtId="0" fontId="17" fillId="2" borderId="32" xfId="0" applyFont="1" applyFill="1" applyBorder="1" applyAlignment="1" applyProtection="1">
      <alignment horizontal="left"/>
      <protection hidden="1"/>
    </xf>
    <xf numFmtId="0" fontId="17" fillId="2" borderId="54" xfId="0" applyFont="1" applyFill="1" applyBorder="1" applyAlignment="1" applyProtection="1">
      <alignment horizontal="left"/>
      <protection hidden="1"/>
    </xf>
    <xf numFmtId="0" fontId="17" fillId="0" borderId="12" xfId="0" applyFont="1" applyBorder="1" applyAlignment="1" applyProtection="1">
      <alignment horizontal="center"/>
      <protection hidden="1"/>
    </xf>
    <xf numFmtId="0" fontId="17" fillId="0" borderId="13" xfId="0" applyFont="1" applyBorder="1" applyAlignment="1" applyProtection="1">
      <alignment horizontal="center"/>
      <protection hidden="1"/>
    </xf>
    <xf numFmtId="2" fontId="19" fillId="2" borderId="12" xfId="0" applyNumberFormat="1" applyFont="1" applyFill="1" applyBorder="1" applyAlignment="1" applyProtection="1">
      <alignment horizontal="center"/>
      <protection hidden="1"/>
    </xf>
    <xf numFmtId="0" fontId="19" fillId="2" borderId="13" xfId="0" applyFont="1" applyFill="1" applyBorder="1" applyAlignment="1" applyProtection="1">
      <alignment horizontal="center"/>
      <protection hidden="1"/>
    </xf>
    <xf numFmtId="0" fontId="17" fillId="0" borderId="24" xfId="0" applyFont="1" applyBorder="1" applyProtection="1">
      <protection hidden="1"/>
    </xf>
    <xf numFmtId="0" fontId="17" fillId="0" borderId="0" xfId="0" applyFont="1" applyProtection="1">
      <protection hidden="1"/>
    </xf>
    <xf numFmtId="0" fontId="17" fillId="0" borderId="25" xfId="0" applyFont="1" applyBorder="1" applyProtection="1">
      <protection hidden="1"/>
    </xf>
    <xf numFmtId="0" fontId="17" fillId="0" borderId="7" xfId="0" applyFont="1" applyBorder="1" applyAlignment="1" applyProtection="1">
      <alignment horizontal="center"/>
      <protection locked="0" hidden="1"/>
    </xf>
    <xf numFmtId="0" fontId="17" fillId="2" borderId="32" xfId="0" applyFont="1" applyFill="1" applyBorder="1" applyAlignment="1" applyProtection="1">
      <alignment horizontal="center"/>
      <protection hidden="1"/>
    </xf>
    <xf numFmtId="0" fontId="17" fillId="2" borderId="54" xfId="0" applyFont="1" applyFill="1" applyBorder="1" applyAlignment="1" applyProtection="1">
      <alignment horizontal="center"/>
      <protection hidden="1"/>
    </xf>
    <xf numFmtId="0" fontId="17" fillId="0" borderId="13" xfId="0" applyFont="1" applyBorder="1" applyAlignment="1" applyProtection="1">
      <alignment horizontal="center"/>
      <protection locked="0" hidden="1"/>
    </xf>
    <xf numFmtId="164" fontId="4" fillId="0" borderId="27" xfId="0" applyNumberFormat="1" applyFont="1" applyBorder="1" applyProtection="1">
      <protection hidden="1"/>
    </xf>
    <xf numFmtId="0" fontId="0" fillId="0" borderId="25" xfId="0" applyBorder="1" applyAlignment="1" applyProtection="1">
      <alignment horizontal="center"/>
      <protection locked="0" hidden="1"/>
    </xf>
    <xf numFmtId="0" fontId="19" fillId="0" borderId="6" xfId="0" applyFont="1" applyBorder="1" applyAlignment="1" applyProtection="1">
      <alignment horizontal="center"/>
      <protection hidden="1"/>
    </xf>
    <xf numFmtId="0" fontId="19" fillId="0" borderId="8" xfId="0" applyFont="1" applyBorder="1" applyAlignment="1" applyProtection="1">
      <alignment horizontal="center"/>
      <protection hidden="1"/>
    </xf>
    <xf numFmtId="0" fontId="17" fillId="0" borderId="8" xfId="0" applyFont="1" applyBorder="1" applyAlignment="1" applyProtection="1">
      <alignment horizontal="center"/>
      <protection hidden="1"/>
    </xf>
    <xf numFmtId="0" fontId="19" fillId="2" borderId="8" xfId="0" applyFont="1" applyFill="1" applyBorder="1" applyAlignment="1" applyProtection="1">
      <alignment horizontal="center"/>
      <protection hidden="1"/>
    </xf>
    <xf numFmtId="0" fontId="19" fillId="2" borderId="7" xfId="0" applyFont="1" applyFill="1" applyBorder="1" applyAlignment="1" applyProtection="1">
      <alignment horizontal="center"/>
      <protection hidden="1"/>
    </xf>
    <xf numFmtId="0" fontId="4" fillId="0" borderId="55" xfId="0" applyFont="1" applyBorder="1" applyAlignment="1" applyProtection="1">
      <alignment horizontal="center"/>
      <protection hidden="1"/>
    </xf>
    <xf numFmtId="0" fontId="7" fillId="0" borderId="56" xfId="0" applyFont="1" applyBorder="1" applyAlignment="1" applyProtection="1">
      <alignment horizontal="center"/>
      <protection hidden="1"/>
    </xf>
    <xf numFmtId="0" fontId="7" fillId="0" borderId="57" xfId="0" applyFont="1" applyBorder="1" applyAlignment="1" applyProtection="1">
      <alignment horizontal="center"/>
      <protection hidden="1"/>
    </xf>
    <xf numFmtId="0" fontId="11" fillId="0" borderId="21" xfId="0" applyFont="1" applyBorder="1" applyProtection="1">
      <protection hidden="1"/>
    </xf>
    <xf numFmtId="0" fontId="11" fillId="0" borderId="24" xfId="0" applyFont="1" applyBorder="1" applyProtection="1">
      <protection hidden="1"/>
    </xf>
    <xf numFmtId="0" fontId="11" fillId="0" borderId="26" xfId="0" applyFont="1" applyBorder="1" applyProtection="1">
      <protection hidden="1"/>
    </xf>
    <xf numFmtId="0" fontId="8" fillId="0" borderId="50" xfId="0" applyFont="1" applyBorder="1" applyAlignment="1" applyProtection="1">
      <alignment horizontal="left"/>
      <protection hidden="1"/>
    </xf>
    <xf numFmtId="0" fontId="8" fillId="0" borderId="46" xfId="0" applyFont="1" applyBorder="1" applyAlignment="1" applyProtection="1">
      <alignment horizontal="left"/>
      <protection locked="0" hidden="1"/>
    </xf>
    <xf numFmtId="0" fontId="22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right"/>
      <protection hidden="1"/>
    </xf>
    <xf numFmtId="0" fontId="8" fillId="0" borderId="49" xfId="0" applyFont="1" applyBorder="1" applyAlignment="1" applyProtection="1">
      <alignment horizontal="left"/>
      <protection hidden="1"/>
    </xf>
    <xf numFmtId="0" fontId="8" fillId="0" borderId="47" xfId="0" applyFont="1" applyBorder="1" applyAlignment="1" applyProtection="1">
      <alignment horizontal="left"/>
      <protection locked="0" hidden="1"/>
    </xf>
    <xf numFmtId="0" fontId="8" fillId="0" borderId="26" xfId="0" applyFont="1" applyBorder="1" applyAlignment="1" applyProtection="1">
      <alignment horizontal="left"/>
      <protection hidden="1"/>
    </xf>
    <xf numFmtId="0" fontId="8" fillId="0" borderId="38" xfId="0" applyFont="1" applyBorder="1" applyAlignment="1" applyProtection="1">
      <alignment horizontal="left"/>
      <protection locked="0" hidden="1"/>
    </xf>
    <xf numFmtId="0" fontId="5" fillId="0" borderId="0" xfId="0" applyFont="1" applyAlignment="1">
      <alignment horizontal="left"/>
    </xf>
    <xf numFmtId="0" fontId="5" fillId="0" borderId="27" xfId="0" applyFont="1" applyBorder="1" applyAlignment="1" applyProtection="1">
      <alignment horizontal="center"/>
      <protection hidden="1"/>
    </xf>
    <xf numFmtId="0" fontId="5" fillId="0" borderId="14" xfId="0" applyFont="1" applyBorder="1" applyAlignment="1" applyProtection="1">
      <alignment horizontal="center"/>
      <protection hidden="1"/>
    </xf>
    <xf numFmtId="0" fontId="4" fillId="0" borderId="56" xfId="0" applyFont="1" applyBorder="1" applyAlignment="1" applyProtection="1">
      <alignment horizontal="center"/>
      <protection hidden="1"/>
    </xf>
    <xf numFmtId="0" fontId="4" fillId="0" borderId="61" xfId="0" applyFont="1" applyBorder="1" applyAlignment="1" applyProtection="1">
      <alignment horizontal="center"/>
      <protection hidden="1"/>
    </xf>
    <xf numFmtId="0" fontId="5" fillId="0" borderId="23" xfId="0" applyFont="1" applyBorder="1" applyAlignment="1" applyProtection="1">
      <alignment horizontal="center"/>
      <protection hidden="1"/>
    </xf>
    <xf numFmtId="0" fontId="5" fillId="0" borderId="56" xfId="0" applyFont="1" applyBorder="1" applyAlignment="1" applyProtection="1">
      <alignment horizontal="center"/>
      <protection hidden="1"/>
    </xf>
    <xf numFmtId="0" fontId="4" fillId="0" borderId="36" xfId="0" applyFont="1" applyBorder="1" applyAlignment="1" applyProtection="1">
      <alignment horizontal="center"/>
      <protection hidden="1"/>
    </xf>
    <xf numFmtId="0" fontId="5" fillId="0" borderId="37" xfId="0" applyFont="1" applyBorder="1" applyAlignment="1" applyProtection="1">
      <alignment horizontal="center"/>
      <protection hidden="1"/>
    </xf>
    <xf numFmtId="0" fontId="5" fillId="0" borderId="48" xfId="0" applyFont="1" applyBorder="1" applyAlignment="1" applyProtection="1">
      <alignment horizontal="center"/>
      <protection hidden="1"/>
    </xf>
    <xf numFmtId="0" fontId="4" fillId="0" borderId="21" xfId="0" applyFont="1" applyBorder="1" applyAlignment="1" applyProtection="1">
      <alignment horizontal="left"/>
      <protection hidden="1"/>
    </xf>
    <xf numFmtId="0" fontId="5" fillId="0" borderId="67" xfId="0" applyFont="1" applyBorder="1"/>
    <xf numFmtId="0" fontId="5" fillId="0" borderId="57" xfId="0" applyFont="1" applyBorder="1"/>
    <xf numFmtId="0" fontId="5" fillId="0" borderId="22" xfId="0" applyFont="1" applyBorder="1" applyAlignment="1" applyProtection="1">
      <alignment horizontal="center"/>
      <protection hidden="1"/>
    </xf>
    <xf numFmtId="0" fontId="5" fillId="0" borderId="25" xfId="0" applyFont="1" applyBorder="1" applyAlignment="1" applyProtection="1">
      <alignment horizontal="center"/>
      <protection hidden="1"/>
    </xf>
    <xf numFmtId="0" fontId="5" fillId="0" borderId="16" xfId="0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4" fillId="0" borderId="35" xfId="0" applyFont="1" applyBorder="1" applyAlignment="1" applyProtection="1">
      <alignment horizontal="center"/>
      <protection hidden="1"/>
    </xf>
    <xf numFmtId="0" fontId="4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>
      <alignment horizontal="center"/>
    </xf>
    <xf numFmtId="0" fontId="4" fillId="0" borderId="34" xfId="0" applyFont="1" applyBorder="1" applyAlignment="1" applyProtection="1">
      <alignment horizontal="center"/>
      <protection hidden="1"/>
    </xf>
    <xf numFmtId="0" fontId="5" fillId="0" borderId="26" xfId="0" quotePrefix="1" applyFont="1" applyBorder="1" applyAlignment="1" applyProtection="1">
      <alignment horizontal="center"/>
      <protection hidden="1"/>
    </xf>
    <xf numFmtId="0" fontId="5" fillId="0" borderId="68" xfId="0" applyFont="1" applyBorder="1" applyAlignment="1" applyProtection="1">
      <alignment horizontal="center"/>
      <protection hidden="1"/>
    </xf>
    <xf numFmtId="0" fontId="5" fillId="0" borderId="38" xfId="0" applyFont="1" applyBorder="1" applyAlignment="1" applyProtection="1">
      <alignment horizontal="center"/>
      <protection hidden="1"/>
    </xf>
    <xf numFmtId="0" fontId="5" fillId="0" borderId="21" xfId="0" applyFont="1" applyBorder="1" applyAlignment="1" applyProtection="1">
      <alignment horizontal="center"/>
      <protection hidden="1"/>
    </xf>
    <xf numFmtId="0" fontId="5" fillId="0" borderId="36" xfId="0" applyFont="1" applyBorder="1" applyAlignment="1" applyProtection="1">
      <alignment horizontal="center"/>
      <protection hidden="1"/>
    </xf>
    <xf numFmtId="0" fontId="4" fillId="0" borderId="26" xfId="0" applyFont="1" applyBorder="1" applyAlignment="1" applyProtection="1">
      <alignment horizontal="center"/>
      <protection hidden="1"/>
    </xf>
    <xf numFmtId="0" fontId="4" fillId="0" borderId="38" xfId="0" applyFont="1" applyBorder="1" applyAlignment="1" applyProtection="1">
      <alignment horizontal="center"/>
      <protection hidden="1"/>
    </xf>
    <xf numFmtId="0" fontId="4" fillId="0" borderId="27" xfId="0" applyFont="1" applyBorder="1" applyAlignment="1" applyProtection="1">
      <alignment horizontal="center"/>
      <protection hidden="1"/>
    </xf>
    <xf numFmtId="0" fontId="5" fillId="0" borderId="58" xfId="0" applyFont="1" applyBorder="1" applyAlignment="1" applyProtection="1">
      <alignment horizontal="center"/>
      <protection hidden="1"/>
    </xf>
    <xf numFmtId="0" fontId="5" fillId="0" borderId="60" xfId="0" applyFont="1" applyBorder="1" applyAlignment="1" applyProtection="1">
      <alignment horizontal="center"/>
      <protection hidden="1"/>
    </xf>
    <xf numFmtId="0" fontId="4" fillId="0" borderId="35" xfId="0" applyFont="1" applyBorder="1" applyProtection="1">
      <protection hidden="1"/>
    </xf>
    <xf numFmtId="0" fontId="5" fillId="0" borderId="2" xfId="0" applyFont="1" applyBorder="1" applyProtection="1">
      <protection hidden="1"/>
    </xf>
    <xf numFmtId="0" fontId="12" fillId="2" borderId="15" xfId="0" applyFont="1" applyFill="1" applyBorder="1" applyAlignment="1" applyProtection="1">
      <alignment horizontal="center"/>
      <protection hidden="1"/>
    </xf>
    <xf numFmtId="0" fontId="5" fillId="0" borderId="25" xfId="0" applyFont="1" applyBorder="1" applyAlignment="1" applyProtection="1">
      <alignment horizontal="left"/>
      <protection hidden="1"/>
    </xf>
    <xf numFmtId="1" fontId="5" fillId="0" borderId="15" xfId="0" applyNumberFormat="1" applyFont="1" applyBorder="1" applyAlignment="1" applyProtection="1">
      <alignment horizontal="center"/>
      <protection hidden="1"/>
    </xf>
    <xf numFmtId="2" fontId="22" fillId="0" borderId="46" xfId="0" applyNumberFormat="1" applyFont="1" applyBorder="1" applyAlignment="1" applyProtection="1">
      <alignment horizontal="center"/>
      <protection hidden="1"/>
    </xf>
    <xf numFmtId="2" fontId="22" fillId="0" borderId="47" xfId="0" applyNumberFormat="1" applyFont="1" applyBorder="1" applyAlignment="1" applyProtection="1">
      <alignment horizontal="center"/>
      <protection hidden="1"/>
    </xf>
    <xf numFmtId="2" fontId="22" fillId="0" borderId="48" xfId="0" applyNumberFormat="1" applyFont="1" applyBorder="1" applyAlignment="1" applyProtection="1">
      <alignment horizontal="center"/>
      <protection hidden="1"/>
    </xf>
    <xf numFmtId="0" fontId="12" fillId="2" borderId="7" xfId="0" applyFont="1" applyFill="1" applyBorder="1" applyAlignment="1" applyProtection="1">
      <alignment horizontal="center"/>
      <protection locked="0" hidden="1"/>
    </xf>
    <xf numFmtId="0" fontId="13" fillId="2" borderId="7" xfId="0" applyFont="1" applyFill="1" applyBorder="1" applyAlignment="1" applyProtection="1">
      <alignment horizontal="center"/>
      <protection locked="0" hidden="1"/>
    </xf>
    <xf numFmtId="0" fontId="12" fillId="2" borderId="31" xfId="0" applyFont="1" applyFill="1" applyBorder="1" applyAlignment="1" applyProtection="1">
      <alignment horizontal="center"/>
      <protection locked="0" hidden="1"/>
    </xf>
    <xf numFmtId="0" fontId="13" fillId="2" borderId="31" xfId="0" applyFont="1" applyFill="1" applyBorder="1" applyAlignment="1" applyProtection="1">
      <alignment horizontal="center"/>
      <protection locked="0" hidden="1"/>
    </xf>
    <xf numFmtId="0" fontId="18" fillId="2" borderId="60" xfId="0" applyFont="1" applyFill="1" applyBorder="1" applyAlignment="1" applyProtection="1">
      <alignment horizontal="left"/>
      <protection hidden="1"/>
    </xf>
    <xf numFmtId="0" fontId="18" fillId="0" borderId="60" xfId="0" applyFont="1" applyBorder="1" applyAlignment="1" applyProtection="1">
      <alignment horizontal="left"/>
      <protection hidden="1"/>
    </xf>
    <xf numFmtId="0" fontId="5" fillId="0" borderId="61" xfId="0" applyFont="1" applyBorder="1"/>
    <xf numFmtId="0" fontId="5" fillId="0" borderId="28" xfId="0" applyFont="1" applyBorder="1"/>
    <xf numFmtId="0" fontId="5" fillId="0" borderId="3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5" fillId="0" borderId="34" xfId="0" applyFont="1" applyBorder="1" applyProtection="1">
      <protection hidden="1"/>
    </xf>
    <xf numFmtId="44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47" xfId="0" applyFont="1" applyBorder="1" applyAlignment="1" applyProtection="1">
      <alignment horizontal="center"/>
      <protection hidden="1"/>
    </xf>
    <xf numFmtId="0" fontId="5" fillId="3" borderId="3" xfId="0" applyFont="1" applyFill="1" applyBorder="1" applyAlignment="1">
      <alignment horizontal="center"/>
    </xf>
    <xf numFmtId="0" fontId="5" fillId="3" borderId="65" xfId="0" applyFont="1" applyFill="1" applyBorder="1" applyAlignment="1">
      <alignment horizontal="center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7" fillId="2" borderId="7" xfId="0" applyFont="1" applyFill="1" applyBorder="1" applyAlignment="1" applyProtection="1">
      <alignment horizontal="center"/>
      <protection locked="0" hidden="1"/>
    </xf>
    <xf numFmtId="0" fontId="28" fillId="2" borderId="4" xfId="0" applyFont="1" applyFill="1" applyBorder="1" applyAlignment="1" applyProtection="1">
      <alignment horizontal="left"/>
      <protection hidden="1"/>
    </xf>
    <xf numFmtId="0" fontId="15" fillId="0" borderId="0" xfId="0" applyFont="1" applyAlignment="1" applyProtection="1">
      <alignment horizontal="center" vertical="center"/>
      <protection locked="0" hidden="1"/>
    </xf>
    <xf numFmtId="0" fontId="13" fillId="0" borderId="0" xfId="0" applyFont="1" applyAlignment="1" applyProtection="1">
      <alignment horizontal="center"/>
      <protection locked="0" hidden="1"/>
    </xf>
    <xf numFmtId="0" fontId="12" fillId="2" borderId="0" xfId="0" applyFont="1" applyFill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locked="0" hidden="1"/>
    </xf>
    <xf numFmtId="164" fontId="13" fillId="0" borderId="0" xfId="0" applyNumberFormat="1" applyFont="1" applyAlignment="1" applyProtection="1">
      <alignment horizontal="center"/>
      <protection hidden="1"/>
    </xf>
    <xf numFmtId="44" fontId="13" fillId="0" borderId="0" xfId="0" applyNumberFormat="1" applyFont="1" applyAlignment="1" applyProtection="1">
      <alignment horizontal="center"/>
      <protection hidden="1"/>
    </xf>
    <xf numFmtId="7" fontId="5" fillId="0" borderId="0" xfId="0" applyNumberFormat="1" applyFont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164" fontId="4" fillId="0" borderId="25" xfId="0" applyNumberFormat="1" applyFont="1" applyBorder="1" applyProtection="1">
      <protection hidden="1"/>
    </xf>
    <xf numFmtId="0" fontId="5" fillId="0" borderId="34" xfId="0" applyFont="1" applyBorder="1" applyAlignment="1" applyProtection="1">
      <alignment horizontal="center"/>
      <protection hidden="1"/>
    </xf>
    <xf numFmtId="0" fontId="5" fillId="0" borderId="34" xfId="0" applyFont="1" applyBorder="1" applyAlignment="1" applyProtection="1">
      <alignment horizontal="center"/>
      <protection locked="0" hidden="1"/>
    </xf>
    <xf numFmtId="0" fontId="8" fillId="0" borderId="46" xfId="0" applyFont="1" applyBorder="1" applyAlignment="1" applyProtection="1">
      <alignment horizontal="center"/>
      <protection hidden="1"/>
    </xf>
    <xf numFmtId="0" fontId="21" fillId="0" borderId="46" xfId="0" applyFont="1" applyBorder="1" applyAlignment="1" applyProtection="1">
      <alignment horizontal="center"/>
      <protection hidden="1"/>
    </xf>
    <xf numFmtId="0" fontId="22" fillId="0" borderId="47" xfId="0" applyFont="1" applyBorder="1" applyAlignment="1" applyProtection="1">
      <alignment horizontal="left"/>
      <protection hidden="1"/>
    </xf>
    <xf numFmtId="0" fontId="22" fillId="0" borderId="48" xfId="0" applyFont="1" applyBorder="1" applyAlignment="1" applyProtection="1">
      <alignment horizontal="left"/>
      <protection hidden="1"/>
    </xf>
    <xf numFmtId="44" fontId="22" fillId="0" borderId="47" xfId="0" applyNumberFormat="1" applyFont="1" applyBorder="1" applyAlignment="1" applyProtection="1">
      <alignment horizontal="center"/>
      <protection hidden="1"/>
    </xf>
    <xf numFmtId="44" fontId="22" fillId="0" borderId="48" xfId="0" applyNumberFormat="1" applyFont="1" applyBorder="1" applyAlignment="1" applyProtection="1">
      <alignment horizontal="center"/>
      <protection hidden="1"/>
    </xf>
    <xf numFmtId="0" fontId="7" fillId="0" borderId="47" xfId="0" applyFont="1" applyBorder="1" applyAlignment="1" applyProtection="1">
      <alignment horizontal="center"/>
      <protection hidden="1"/>
    </xf>
    <xf numFmtId="1" fontId="4" fillId="0" borderId="23" xfId="0" applyNumberFormat="1" applyFont="1" applyBorder="1" applyAlignment="1" applyProtection="1">
      <alignment horizontal="center"/>
      <protection hidden="1"/>
    </xf>
    <xf numFmtId="0" fontId="5" fillId="0" borderId="35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2" fontId="22" fillId="0" borderId="51" xfId="0" applyNumberFormat="1" applyFont="1" applyBorder="1" applyAlignment="1" applyProtection="1">
      <alignment horizontal="center"/>
      <protection hidden="1"/>
    </xf>
    <xf numFmtId="0" fontId="7" fillId="0" borderId="51" xfId="0" applyFont="1" applyBorder="1" applyAlignment="1" applyProtection="1">
      <alignment horizontal="center"/>
      <protection hidden="1"/>
    </xf>
    <xf numFmtId="0" fontId="22" fillId="0" borderId="51" xfId="0" applyFont="1" applyBorder="1" applyAlignment="1" applyProtection="1">
      <alignment horizontal="left"/>
      <protection hidden="1"/>
    </xf>
    <xf numFmtId="44" fontId="22" fillId="0" borderId="51" xfId="0" applyNumberFormat="1" applyFont="1" applyBorder="1" applyAlignment="1" applyProtection="1">
      <alignment horizontal="center"/>
      <protection hidden="1"/>
    </xf>
    <xf numFmtId="0" fontId="8" fillId="0" borderId="71" xfId="0" applyFont="1" applyBorder="1" applyAlignment="1" applyProtection="1">
      <alignment horizontal="center"/>
      <protection hidden="1"/>
    </xf>
    <xf numFmtId="0" fontId="7" fillId="0" borderId="53" xfId="0" applyFont="1" applyBorder="1" applyAlignment="1" applyProtection="1">
      <alignment horizontal="center"/>
      <protection hidden="1"/>
    </xf>
    <xf numFmtId="0" fontId="7" fillId="0" borderId="43" xfId="0" applyFont="1" applyBorder="1" applyAlignment="1" applyProtection="1">
      <alignment horizontal="center"/>
      <protection hidden="1"/>
    </xf>
    <xf numFmtId="0" fontId="7" fillId="0" borderId="49" xfId="0" applyFont="1" applyBorder="1" applyAlignment="1" applyProtection="1">
      <alignment horizontal="center"/>
      <protection hidden="1"/>
    </xf>
    <xf numFmtId="0" fontId="22" fillId="0" borderId="46" xfId="0" applyFont="1" applyBorder="1" applyAlignment="1" applyProtection="1">
      <alignment horizontal="left"/>
      <protection hidden="1"/>
    </xf>
    <xf numFmtId="44" fontId="22" fillId="0" borderId="46" xfId="0" applyNumberFormat="1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locked="0" hidden="1"/>
    </xf>
    <xf numFmtId="0" fontId="12" fillId="0" borderId="73" xfId="0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horizontal="center"/>
      <protection hidden="1"/>
    </xf>
    <xf numFmtId="0" fontId="16" fillId="2" borderId="3" xfId="0" applyFont="1" applyFill="1" applyBorder="1" applyAlignment="1" applyProtection="1">
      <alignment horizontal="left"/>
      <protection hidden="1"/>
    </xf>
    <xf numFmtId="0" fontId="13" fillId="2" borderId="3" xfId="0" applyFont="1" applyFill="1" applyBorder="1" applyAlignment="1" applyProtection="1">
      <alignment horizontal="center"/>
      <protection hidden="1"/>
    </xf>
    <xf numFmtId="0" fontId="13" fillId="0" borderId="74" xfId="0" applyFont="1" applyBorder="1" applyAlignment="1" applyProtection="1">
      <alignment horizontal="center"/>
      <protection hidden="1"/>
    </xf>
    <xf numFmtId="2" fontId="12" fillId="2" borderId="74" xfId="0" applyNumberFormat="1" applyFont="1" applyFill="1" applyBorder="1" applyAlignment="1" applyProtection="1">
      <alignment horizontal="center"/>
      <protection hidden="1"/>
    </xf>
    <xf numFmtId="0" fontId="13" fillId="2" borderId="74" xfId="0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5" fillId="0" borderId="0" xfId="0" applyFont="1" applyAlignment="1" applyProtection="1">
      <alignment horizontal="center"/>
      <protection locked="0" hidden="1"/>
    </xf>
    <xf numFmtId="0" fontId="12" fillId="0" borderId="21" xfId="0" applyFont="1" applyBorder="1" applyAlignment="1" applyProtection="1">
      <alignment horizontal="center"/>
      <protection hidden="1"/>
    </xf>
    <xf numFmtId="0" fontId="12" fillId="0" borderId="23" xfId="0" applyFont="1" applyBorder="1" applyAlignment="1" applyProtection="1">
      <alignment horizontal="center"/>
      <protection hidden="1"/>
    </xf>
    <xf numFmtId="0" fontId="13" fillId="0" borderId="56" xfId="0" applyFont="1" applyBorder="1" applyAlignment="1" applyProtection="1">
      <alignment horizontal="center"/>
      <protection hidden="1"/>
    </xf>
    <xf numFmtId="0" fontId="13" fillId="0" borderId="39" xfId="0" applyFont="1" applyBorder="1" applyAlignment="1" applyProtection="1">
      <alignment horizontal="center"/>
      <protection hidden="1"/>
    </xf>
    <xf numFmtId="164" fontId="13" fillId="0" borderId="26" xfId="0" applyNumberFormat="1" applyFont="1" applyBorder="1" applyAlignment="1" applyProtection="1">
      <alignment horizontal="center"/>
      <protection hidden="1"/>
    </xf>
    <xf numFmtId="164" fontId="13" fillId="0" borderId="27" xfId="0" applyNumberFormat="1" applyFont="1" applyBorder="1" applyAlignment="1" applyProtection="1">
      <alignment horizontal="center"/>
      <protection hidden="1"/>
    </xf>
    <xf numFmtId="0" fontId="4" fillId="0" borderId="36" xfId="0" applyFont="1" applyBorder="1" applyProtection="1">
      <protection hidden="1"/>
    </xf>
    <xf numFmtId="0" fontId="7" fillId="0" borderId="68" xfId="0" applyFont="1" applyBorder="1" applyAlignment="1" applyProtection="1">
      <alignment horizontal="center"/>
      <protection hidden="1"/>
    </xf>
    <xf numFmtId="1" fontId="5" fillId="0" borderId="48" xfId="0" applyNumberFormat="1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13" fillId="2" borderId="12" xfId="0" applyFont="1" applyFill="1" applyBorder="1" applyProtection="1">
      <protection hidden="1"/>
    </xf>
    <xf numFmtId="0" fontId="13" fillId="0" borderId="3" xfId="0" applyFont="1" applyBorder="1" applyAlignment="1" applyProtection="1">
      <alignment horizontal="center"/>
      <protection locked="0" hidden="1"/>
    </xf>
    <xf numFmtId="0" fontId="12" fillId="0" borderId="71" xfId="0" applyFont="1" applyBorder="1" applyAlignment="1" applyProtection="1">
      <alignment horizontal="center"/>
      <protection hidden="1"/>
    </xf>
    <xf numFmtId="0" fontId="12" fillId="0" borderId="7" xfId="0" applyFont="1" applyBorder="1" applyAlignment="1" applyProtection="1">
      <alignment horizontal="center"/>
      <protection hidden="1"/>
    </xf>
    <xf numFmtId="0" fontId="5" fillId="0" borderId="74" xfId="0" applyFont="1" applyBorder="1" applyAlignment="1" applyProtection="1">
      <alignment horizontal="center"/>
      <protection hidden="1"/>
    </xf>
    <xf numFmtId="0" fontId="12" fillId="2" borderId="74" xfId="0" applyFont="1" applyFill="1" applyBorder="1" applyAlignment="1" applyProtection="1">
      <alignment horizontal="center"/>
      <protection hidden="1"/>
    </xf>
    <xf numFmtId="0" fontId="13" fillId="2" borderId="65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Protection="1">
      <protection hidden="1"/>
    </xf>
    <xf numFmtId="0" fontId="5" fillId="2" borderId="44" xfId="0" applyFont="1" applyFill="1" applyBorder="1" applyProtection="1"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16" fillId="2" borderId="60" xfId="0" applyFont="1" applyFill="1" applyBorder="1" applyAlignment="1" applyProtection="1">
      <alignment horizontal="left"/>
      <protection hidden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4" xfId="0" applyBorder="1"/>
    <xf numFmtId="0" fontId="0" fillId="0" borderId="27" xfId="0" applyBorder="1"/>
    <xf numFmtId="0" fontId="7" fillId="0" borderId="70" xfId="0" applyFont="1" applyBorder="1" applyAlignment="1" applyProtection="1">
      <alignment horizontal="center"/>
      <protection hidden="1"/>
    </xf>
    <xf numFmtId="0" fontId="7" fillId="0" borderId="17" xfId="0" applyFont="1" applyBorder="1" applyAlignment="1" applyProtection="1">
      <alignment horizontal="center"/>
      <protection hidden="1"/>
    </xf>
    <xf numFmtId="0" fontId="8" fillId="0" borderId="18" xfId="0" applyFont="1" applyBorder="1" applyAlignment="1" applyProtection="1">
      <alignment horizontal="center"/>
      <protection hidden="1"/>
    </xf>
    <xf numFmtId="2" fontId="8" fillId="0" borderId="18" xfId="0" applyNumberFormat="1" applyFont="1" applyBorder="1" applyAlignment="1" applyProtection="1">
      <alignment horizontal="center"/>
      <protection hidden="1"/>
    </xf>
    <xf numFmtId="44" fontId="8" fillId="0" borderId="19" xfId="0" applyNumberFormat="1" applyFont="1" applyBorder="1" applyAlignment="1" applyProtection="1">
      <alignment horizontal="center"/>
      <protection hidden="1"/>
    </xf>
    <xf numFmtId="0" fontId="8" fillId="0" borderId="53" xfId="0" applyFont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center"/>
      <protection locked="0" hidden="1"/>
    </xf>
    <xf numFmtId="0" fontId="16" fillId="0" borderId="3" xfId="0" applyFont="1" applyBorder="1" applyAlignment="1" applyProtection="1">
      <alignment horizontal="left"/>
      <protection hidden="1"/>
    </xf>
    <xf numFmtId="0" fontId="13" fillId="0" borderId="44" xfId="0" applyFont="1" applyBorder="1" applyAlignment="1" applyProtection="1">
      <alignment horizontal="center"/>
      <protection hidden="1"/>
    </xf>
    <xf numFmtId="0" fontId="8" fillId="0" borderId="0" xfId="0" applyFont="1"/>
    <xf numFmtId="0" fontId="29" fillId="0" borderId="7" xfId="0" applyFont="1" applyBorder="1" applyAlignment="1">
      <alignment horizontal="center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34" xfId="0" applyFont="1" applyBorder="1" applyAlignment="1" applyProtection="1">
      <alignment horizontal="center" wrapText="1"/>
      <protection hidden="1"/>
    </xf>
    <xf numFmtId="0" fontId="21" fillId="0" borderId="35" xfId="0" applyFont="1" applyBorder="1" applyAlignment="1" applyProtection="1">
      <alignment horizontal="center" wrapText="1"/>
      <protection hidden="1"/>
    </xf>
    <xf numFmtId="0" fontId="21" fillId="0" borderId="19" xfId="0" applyFont="1" applyBorder="1" applyAlignment="1" applyProtection="1">
      <alignment horizontal="center" wrapText="1"/>
      <protection hidden="1"/>
    </xf>
    <xf numFmtId="0" fontId="13" fillId="0" borderId="72" xfId="0" applyFont="1" applyBorder="1" applyAlignment="1" applyProtection="1">
      <alignment horizontal="center"/>
      <protection locked="0" hidden="1"/>
    </xf>
    <xf numFmtId="0" fontId="4" fillId="2" borderId="13" xfId="0" applyFont="1" applyFill="1" applyBorder="1"/>
    <xf numFmtId="0" fontId="25" fillId="0" borderId="72" xfId="0" applyFont="1" applyBorder="1" applyAlignment="1">
      <alignment horizontal="right"/>
    </xf>
    <xf numFmtId="0" fontId="25" fillId="0" borderId="66" xfId="0" applyFont="1" applyBorder="1" applyAlignment="1">
      <alignment horizontal="center"/>
    </xf>
    <xf numFmtId="0" fontId="25" fillId="0" borderId="69" xfId="0" applyFont="1" applyBorder="1" applyAlignment="1">
      <alignment horizontal="center"/>
    </xf>
    <xf numFmtId="0" fontId="8" fillId="0" borderId="42" xfId="0" applyFont="1" applyBorder="1" applyAlignment="1" applyProtection="1">
      <alignment horizontal="center"/>
      <protection hidden="1"/>
    </xf>
    <xf numFmtId="0" fontId="22" fillId="0" borderId="68" xfId="0" applyFont="1" applyBorder="1" applyAlignment="1" applyProtection="1">
      <alignment horizontal="left"/>
      <protection hidden="1"/>
    </xf>
    <xf numFmtId="2" fontId="22" fillId="0" borderId="68" xfId="0" applyNumberFormat="1" applyFont="1" applyBorder="1" applyAlignment="1" applyProtection="1">
      <alignment horizontal="center"/>
      <protection hidden="1"/>
    </xf>
    <xf numFmtId="44" fontId="22" fillId="0" borderId="68" xfId="0" applyNumberFormat="1" applyFont="1" applyBorder="1" applyAlignment="1" applyProtection="1">
      <alignment horizontal="center"/>
      <protection hidden="1"/>
    </xf>
    <xf numFmtId="0" fontId="7" fillId="0" borderId="48" xfId="0" applyFont="1" applyBorder="1" applyAlignment="1" applyProtection="1">
      <alignment horizontal="center"/>
      <protection hidden="1"/>
    </xf>
    <xf numFmtId="0" fontId="30" fillId="0" borderId="0" xfId="0" applyFont="1"/>
    <xf numFmtId="0" fontId="4" fillId="0" borderId="0" xfId="0" applyFont="1" applyAlignment="1" applyProtection="1">
      <alignment horizontal="right"/>
      <protection hidden="1"/>
    </xf>
    <xf numFmtId="0" fontId="4" fillId="0" borderId="25" xfId="0" applyFont="1" applyBorder="1" applyAlignment="1" applyProtection="1">
      <alignment horizontal="right"/>
      <protection hidden="1"/>
    </xf>
    <xf numFmtId="0" fontId="4" fillId="0" borderId="0" xfId="0" applyFont="1" applyAlignment="1">
      <alignment horizontal="right"/>
    </xf>
    <xf numFmtId="0" fontId="4" fillId="0" borderId="25" xfId="0" applyFont="1" applyBorder="1" applyAlignment="1">
      <alignment horizontal="right"/>
    </xf>
    <xf numFmtId="0" fontId="22" fillId="0" borderId="0" xfId="0" applyFont="1" applyAlignment="1" applyProtection="1">
      <alignment horizontal="center"/>
      <protection locked="0" hidden="1"/>
    </xf>
    <xf numFmtId="0" fontId="21" fillId="0" borderId="36" xfId="0" applyFont="1" applyBorder="1" applyAlignment="1" applyProtection="1">
      <alignment horizontal="center"/>
      <protection locked="0" hidden="1"/>
    </xf>
    <xf numFmtId="0" fontId="21" fillId="0" borderId="36" xfId="0" applyFont="1" applyBorder="1" applyAlignment="1" applyProtection="1">
      <alignment horizontal="center" wrapText="1"/>
      <protection locked="0" hidden="1"/>
    </xf>
    <xf numFmtId="0" fontId="21" fillId="0" borderId="21" xfId="0" applyFont="1" applyBorder="1" applyAlignment="1" applyProtection="1">
      <alignment horizontal="center" wrapText="1"/>
      <protection locked="0" hidden="1"/>
    </xf>
    <xf numFmtId="0" fontId="21" fillId="0" borderId="23" xfId="0" applyFont="1" applyBorder="1" applyAlignment="1" applyProtection="1">
      <alignment horizontal="center" wrapText="1"/>
      <protection locked="0" hidden="1"/>
    </xf>
    <xf numFmtId="0" fontId="4" fillId="0" borderId="23" xfId="0" applyFont="1" applyBorder="1" applyAlignment="1">
      <alignment horizontal="right" vertical="center"/>
    </xf>
    <xf numFmtId="0" fontId="22" fillId="0" borderId="0" xfId="0" applyFont="1" applyAlignment="1" applyProtection="1">
      <alignment horizontal="left" vertical="top" wrapText="1"/>
      <protection hidden="1"/>
    </xf>
    <xf numFmtId="0" fontId="0" fillId="0" borderId="0" xfId="0" applyAlignment="1">
      <alignment horizontal="left" vertical="top"/>
    </xf>
    <xf numFmtId="0" fontId="32" fillId="0" borderId="0" xfId="3" applyFont="1" applyAlignment="1" applyProtection="1">
      <alignment horizontal="left"/>
      <protection locked="0" hidden="1"/>
    </xf>
    <xf numFmtId="0" fontId="14" fillId="0" borderId="6" xfId="0" applyFont="1" applyBorder="1" applyAlignment="1" applyProtection="1">
      <alignment horizontal="center" vertical="center"/>
      <protection locked="0" hidden="1"/>
    </xf>
    <xf numFmtId="0" fontId="15" fillId="0" borderId="9" xfId="0" applyFont="1" applyBorder="1" applyAlignment="1" applyProtection="1">
      <alignment horizontal="center" vertical="center"/>
      <protection locked="0" hidden="1"/>
    </xf>
    <xf numFmtId="0" fontId="15" fillId="0" borderId="11" xfId="0" applyFont="1" applyBorder="1" applyAlignment="1" applyProtection="1">
      <alignment horizontal="center" vertical="center"/>
      <protection locked="0" hidden="1"/>
    </xf>
    <xf numFmtId="0" fontId="13" fillId="0" borderId="72" xfId="0" applyFont="1" applyBorder="1" applyAlignment="1" applyProtection="1">
      <alignment horizontal="left"/>
      <protection locked="0" hidden="1"/>
    </xf>
    <xf numFmtId="0" fontId="0" fillId="0" borderId="66" xfId="0" applyBorder="1" applyAlignment="1" applyProtection="1">
      <alignment horizontal="left"/>
      <protection locked="0" hidden="1"/>
    </xf>
    <xf numFmtId="0" fontId="0" fillId="0" borderId="69" xfId="0" applyBorder="1" applyAlignment="1" applyProtection="1">
      <alignment horizontal="left"/>
      <protection locked="0" hidden="1"/>
    </xf>
    <xf numFmtId="0" fontId="13" fillId="0" borderId="12" xfId="0" applyFont="1" applyBorder="1" applyAlignment="1" applyProtection="1">
      <alignment horizontal="center"/>
      <protection locked="0" hidden="1"/>
    </xf>
    <xf numFmtId="0" fontId="17" fillId="0" borderId="15" xfId="0" applyFont="1" applyBorder="1" applyAlignment="1" applyProtection="1">
      <alignment horizontal="center"/>
      <protection locked="0" hidden="1"/>
    </xf>
    <xf numFmtId="0" fontId="17" fillId="0" borderId="16" xfId="0" applyFont="1" applyBorder="1" applyAlignment="1" applyProtection="1">
      <alignment horizontal="center"/>
      <protection locked="0"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0" fontId="15" fillId="2" borderId="11" xfId="0" applyFont="1" applyFill="1" applyBorder="1" applyAlignment="1" applyProtection="1">
      <alignment horizontal="center" vertical="center"/>
      <protection hidden="1"/>
    </xf>
    <xf numFmtId="0" fontId="13" fillId="0" borderId="12" xfId="0" applyFont="1" applyBorder="1" applyAlignment="1" applyProtection="1">
      <alignment horizontal="center"/>
      <protection hidden="1"/>
    </xf>
    <xf numFmtId="0" fontId="17" fillId="0" borderId="15" xfId="0" applyFont="1" applyBorder="1" applyAlignment="1" applyProtection="1">
      <alignment horizontal="center"/>
      <protection hidden="1"/>
    </xf>
    <xf numFmtId="0" fontId="17" fillId="0" borderId="16" xfId="0" applyFont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left"/>
      <protection locked="0" hidden="1"/>
    </xf>
    <xf numFmtId="0" fontId="17" fillId="0" borderId="15" xfId="0" applyFont="1" applyBorder="1" applyAlignment="1" applyProtection="1">
      <alignment horizontal="left"/>
      <protection locked="0" hidden="1"/>
    </xf>
    <xf numFmtId="0" fontId="17" fillId="0" borderId="16" xfId="0" applyFont="1" applyBorder="1" applyAlignment="1" applyProtection="1">
      <alignment horizontal="left"/>
      <protection locked="0"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5" fillId="0" borderId="24" xfId="0" applyFont="1" applyBorder="1" applyAlignment="1" applyProtection="1">
      <alignment horizontal="center" vertical="center"/>
      <protection hidden="1"/>
    </xf>
    <xf numFmtId="0" fontId="15" fillId="0" borderId="11" xfId="0" applyFont="1" applyBorder="1" applyAlignment="1" applyProtection="1">
      <alignment vertical="center"/>
      <protection hidden="1"/>
    </xf>
    <xf numFmtId="0" fontId="14" fillId="0" borderId="9" xfId="0" applyFont="1" applyBorder="1" applyAlignment="1" applyProtection="1">
      <alignment horizontal="center" vertical="center"/>
      <protection locked="0" hidden="1"/>
    </xf>
    <xf numFmtId="0" fontId="14" fillId="0" borderId="11" xfId="0" applyFont="1" applyBorder="1" applyAlignment="1" applyProtection="1">
      <alignment horizontal="center" vertical="center"/>
      <protection locked="0" hidden="1"/>
    </xf>
    <xf numFmtId="0" fontId="13" fillId="2" borderId="4" xfId="0" applyFont="1" applyFill="1" applyBorder="1" applyAlignment="1" applyProtection="1">
      <alignment horizontal="left"/>
      <protection hidden="1"/>
    </xf>
    <xf numFmtId="0" fontId="13" fillId="2" borderId="32" xfId="0" applyFont="1" applyFill="1" applyBorder="1" applyAlignment="1" applyProtection="1">
      <alignment horizontal="left"/>
      <protection hidden="1"/>
    </xf>
    <xf numFmtId="0" fontId="12" fillId="2" borderId="4" xfId="0" applyFont="1" applyFill="1" applyBorder="1" applyAlignment="1" applyProtection="1">
      <alignment horizontal="center"/>
      <protection hidden="1"/>
    </xf>
    <xf numFmtId="0" fontId="12" fillId="2" borderId="5" xfId="0" applyFont="1" applyFill="1" applyBorder="1" applyAlignment="1" applyProtection="1">
      <alignment horizontal="center"/>
      <protection hidden="1"/>
    </xf>
    <xf numFmtId="0" fontId="13" fillId="0" borderId="15" xfId="0" applyFont="1" applyBorder="1" applyAlignment="1" applyProtection="1">
      <alignment horizontal="left"/>
      <protection locked="0" hidden="1"/>
    </xf>
    <xf numFmtId="0" fontId="13" fillId="0" borderId="16" xfId="0" applyFont="1" applyBorder="1" applyAlignment="1" applyProtection="1">
      <alignment horizontal="left"/>
      <protection locked="0" hidden="1"/>
    </xf>
    <xf numFmtId="0" fontId="15" fillId="0" borderId="24" xfId="0" applyFont="1" applyBorder="1" applyAlignment="1" applyProtection="1">
      <alignment horizontal="center" vertical="center"/>
      <protection locked="0" hidden="1"/>
    </xf>
    <xf numFmtId="0" fontId="15" fillId="0" borderId="11" xfId="0" applyFont="1" applyBorder="1" applyAlignment="1" applyProtection="1">
      <alignment vertical="center"/>
      <protection locked="0" hidden="1"/>
    </xf>
    <xf numFmtId="0" fontId="15" fillId="0" borderId="11" xfId="0" applyFont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locked="0" hidden="1"/>
    </xf>
    <xf numFmtId="0" fontId="19" fillId="2" borderId="3" xfId="0" applyFont="1" applyFill="1" applyBorder="1" applyAlignment="1" applyProtection="1">
      <alignment horizontal="center"/>
      <protection locked="0" hidden="1"/>
    </xf>
    <xf numFmtId="0" fontId="15" fillId="0" borderId="9" xfId="0" applyFont="1" applyBorder="1" applyAlignment="1" applyProtection="1">
      <alignment vertical="center"/>
      <protection locked="0" hidden="1"/>
    </xf>
    <xf numFmtId="0" fontId="12" fillId="2" borderId="4" xfId="0" applyFont="1" applyFill="1" applyBorder="1" applyAlignment="1" applyProtection="1">
      <alignment horizontal="center"/>
      <protection locked="0" hidden="1"/>
    </xf>
    <xf numFmtId="0" fontId="12" fillId="2" borderId="5" xfId="0" applyFont="1" applyFill="1" applyBorder="1" applyAlignment="1" applyProtection="1">
      <alignment horizontal="center"/>
      <protection locked="0" hidden="1"/>
    </xf>
    <xf numFmtId="0" fontId="13" fillId="0" borderId="15" xfId="0" applyFont="1" applyBorder="1" applyAlignment="1" applyProtection="1">
      <alignment horizontal="center"/>
      <protection locked="0" hidden="1"/>
    </xf>
    <xf numFmtId="0" fontId="13" fillId="0" borderId="16" xfId="0" applyFont="1" applyBorder="1" applyAlignment="1" applyProtection="1">
      <alignment horizontal="center"/>
      <protection locked="0" hidden="1"/>
    </xf>
    <xf numFmtId="0" fontId="12" fillId="0" borderId="4" xfId="0" applyFont="1" applyBorder="1" applyAlignment="1" applyProtection="1">
      <alignment horizontal="center"/>
      <protection hidden="1"/>
    </xf>
    <xf numFmtId="0" fontId="19" fillId="0" borderId="5" xfId="0" applyFont="1" applyBorder="1" applyAlignment="1" applyProtection="1">
      <alignment horizont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0" fontId="15" fillId="0" borderId="9" xfId="0" applyFont="1" applyBorder="1" applyAlignment="1" applyProtection="1">
      <alignment vertical="center"/>
      <protection hidden="1"/>
    </xf>
    <xf numFmtId="0" fontId="13" fillId="0" borderId="4" xfId="0" applyFont="1" applyBorder="1" applyAlignment="1" applyProtection="1">
      <alignment horizontal="left"/>
      <protection hidden="1"/>
    </xf>
    <xf numFmtId="0" fontId="13" fillId="0" borderId="15" xfId="0" applyFont="1" applyBorder="1" applyAlignment="1" applyProtection="1">
      <alignment horizontal="center"/>
      <protection hidden="1"/>
    </xf>
    <xf numFmtId="0" fontId="13" fillId="0" borderId="16" xfId="0" applyFont="1" applyBorder="1" applyAlignment="1" applyProtection="1">
      <alignment horizontal="center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0" fontId="15" fillId="0" borderId="21" xfId="0" applyFont="1" applyBorder="1" applyAlignment="1" applyProtection="1">
      <alignment horizontal="center" vertical="center"/>
      <protection locked="0" hidden="1"/>
    </xf>
    <xf numFmtId="0" fontId="15" fillId="0" borderId="26" xfId="0" applyFont="1" applyBorder="1" applyAlignment="1" applyProtection="1">
      <alignment horizontal="center" vertical="center"/>
      <protection locked="0" hidden="1"/>
    </xf>
    <xf numFmtId="0" fontId="19" fillId="2" borderId="4" xfId="0" applyFont="1" applyFill="1" applyBorder="1" applyAlignment="1" applyProtection="1">
      <alignment horizontal="center"/>
      <protection hidden="1"/>
    </xf>
    <xf numFmtId="0" fontId="19" fillId="2" borderId="5" xfId="0" applyFont="1" applyFill="1" applyBorder="1" applyAlignment="1" applyProtection="1">
      <alignment horizontal="center"/>
      <protection hidden="1"/>
    </xf>
    <xf numFmtId="0" fontId="17" fillId="0" borderId="12" xfId="0" applyFont="1" applyBorder="1" applyAlignment="1" applyProtection="1">
      <alignment horizontal="center"/>
      <protection locked="0"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6" xfId="0" applyFont="1" applyBorder="1" applyAlignment="1" applyProtection="1">
      <alignment horizontal="center" vertical="center"/>
      <protection hidden="1"/>
    </xf>
    <xf numFmtId="0" fontId="17" fillId="0" borderId="12" xfId="0" applyFont="1" applyBorder="1" applyAlignment="1" applyProtection="1">
      <alignment horizontal="center"/>
      <protection hidden="1"/>
    </xf>
    <xf numFmtId="0" fontId="19" fillId="2" borderId="4" xfId="0" applyFont="1" applyFill="1" applyBorder="1" applyAlignment="1" applyProtection="1">
      <alignment horizontal="center"/>
      <protection locked="0" hidden="1"/>
    </xf>
    <xf numFmtId="0" fontId="19" fillId="2" borderId="5" xfId="0" applyFont="1" applyFill="1" applyBorder="1" applyAlignment="1" applyProtection="1">
      <alignment horizontal="center"/>
      <protection locked="0" hidden="1"/>
    </xf>
    <xf numFmtId="0" fontId="13" fillId="0" borderId="62" xfId="0" applyFont="1" applyBorder="1" applyAlignment="1" applyProtection="1">
      <alignment horizontal="center"/>
      <protection hidden="1"/>
    </xf>
    <xf numFmtId="0" fontId="16" fillId="0" borderId="4" xfId="0" applyFont="1" applyBorder="1" applyAlignment="1" applyProtection="1">
      <alignment horizontal="left"/>
      <protection locked="0" hidden="1"/>
    </xf>
    <xf numFmtId="0" fontId="13" fillId="0" borderId="4" xfId="0" applyFont="1" applyBorder="1" applyAlignment="1" applyProtection="1">
      <alignment horizontal="center"/>
      <protection hidden="1"/>
    </xf>
    <xf numFmtId="0" fontId="15" fillId="2" borderId="9" xfId="0" applyFont="1" applyFill="1" applyBorder="1" applyAlignment="1" applyProtection="1">
      <alignment vertical="center"/>
      <protection hidden="1"/>
    </xf>
    <xf numFmtId="0" fontId="15" fillId="2" borderId="11" xfId="0" applyFont="1" applyFill="1" applyBorder="1" applyAlignment="1" applyProtection="1">
      <alignment vertical="center"/>
      <protection hidden="1"/>
    </xf>
    <xf numFmtId="0" fontId="13" fillId="2" borderId="12" xfId="0" applyFont="1" applyFill="1" applyBorder="1" applyAlignment="1" applyProtection="1">
      <alignment horizontal="center"/>
      <protection locked="0" hidden="1"/>
    </xf>
    <xf numFmtId="0" fontId="13" fillId="2" borderId="15" xfId="0" applyFont="1" applyFill="1" applyBorder="1" applyAlignment="1" applyProtection="1">
      <alignment horizontal="center"/>
      <protection locked="0" hidden="1"/>
    </xf>
    <xf numFmtId="0" fontId="13" fillId="2" borderId="16" xfId="0" applyFont="1" applyFill="1" applyBorder="1" applyAlignment="1" applyProtection="1">
      <alignment horizontal="center"/>
      <protection locked="0" hidden="1"/>
    </xf>
    <xf numFmtId="0" fontId="14" fillId="2" borderId="53" xfId="0" applyFont="1" applyFill="1" applyBorder="1" applyAlignment="1" applyProtection="1">
      <alignment horizontal="center" vertical="center"/>
      <protection hidden="1"/>
    </xf>
    <xf numFmtId="0" fontId="15" fillId="2" borderId="53" xfId="0" applyFont="1" applyFill="1" applyBorder="1" applyAlignment="1" applyProtection="1">
      <alignment horizontal="center" vertical="center"/>
      <protection hidden="1"/>
    </xf>
    <xf numFmtId="0" fontId="15" fillId="2" borderId="43" xfId="0" applyFont="1" applyFill="1" applyBorder="1" applyAlignment="1" applyProtection="1">
      <alignment horizontal="center" vertical="center"/>
      <protection hidden="1"/>
    </xf>
    <xf numFmtId="0" fontId="13" fillId="2" borderId="4" xfId="0" applyFont="1" applyFill="1" applyBorder="1" applyAlignment="1" applyProtection="1">
      <alignment horizontal="left"/>
      <protection locked="0" hidden="1"/>
    </xf>
    <xf numFmtId="0" fontId="13" fillId="2" borderId="32" xfId="0" applyFont="1" applyFill="1" applyBorder="1" applyAlignment="1" applyProtection="1">
      <alignment horizontal="left"/>
      <protection locked="0" hidden="1"/>
    </xf>
    <xf numFmtId="0" fontId="13" fillId="2" borderId="5" xfId="0" applyFont="1" applyFill="1" applyBorder="1" applyAlignment="1" applyProtection="1">
      <alignment horizontal="left"/>
      <protection locked="0" hidden="1"/>
    </xf>
    <xf numFmtId="0" fontId="17" fillId="2" borderId="32" xfId="0" applyFont="1" applyFill="1" applyBorder="1" applyAlignment="1" applyProtection="1">
      <protection hidden="1"/>
    </xf>
    <xf numFmtId="0" fontId="17" fillId="0" borderId="32" xfId="0" applyFont="1" applyBorder="1" applyAlignment="1" applyProtection="1">
      <protection hidden="1"/>
    </xf>
    <xf numFmtId="0" fontId="17" fillId="0" borderId="15" xfId="0" applyFont="1" applyBorder="1" applyAlignment="1" applyProtection="1">
      <protection hidden="1"/>
    </xf>
    <xf numFmtId="0" fontId="17" fillId="0" borderId="16" xfId="0" applyFont="1" applyBorder="1" applyAlignment="1" applyProtection="1">
      <protection hidden="1"/>
    </xf>
    <xf numFmtId="0" fontId="17" fillId="0" borderId="15" xfId="0" applyFont="1" applyBorder="1" applyAlignment="1" applyProtection="1">
      <protection locked="0" hidden="1"/>
    </xf>
    <xf numFmtId="0" fontId="17" fillId="0" borderId="16" xfId="0" applyFont="1" applyBorder="1" applyAlignment="1" applyProtection="1">
      <protection locked="0" hidden="1"/>
    </xf>
    <xf numFmtId="0" fontId="0" fillId="0" borderId="5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59" xfId="0" applyBorder="1" applyAlignment="1"/>
    <xf numFmtId="0" fontId="0" fillId="0" borderId="32" xfId="0" applyBorder="1" applyAlignment="1" applyProtection="1">
      <protection locked="0" hidden="1"/>
    </xf>
    <xf numFmtId="0" fontId="0" fillId="0" borderId="54" xfId="0" applyBorder="1" applyAlignment="1" applyProtection="1">
      <protection locked="0" hidden="1"/>
    </xf>
    <xf numFmtId="0" fontId="0" fillId="0" borderId="15" xfId="0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4">
    <cellStyle name="Hyperlink" xfId="3" builtinId="8"/>
    <cellStyle name="Standaard" xfId="0" builtinId="0"/>
    <cellStyle name="Standaard 2" xfId="1" xr:uid="{446C659C-76EF-4C2C-9262-92400E147288}"/>
    <cellStyle name="Standaard 3" xfId="2" xr:uid="{A99EDE73-62E6-4390-84AE-DA3F349EC2D9}"/>
  </cellStyles>
  <dxfs count="20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1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95250</xdr:rowOff>
    </xdr:from>
    <xdr:to>
      <xdr:col>4</xdr:col>
      <xdr:colOff>657378</xdr:colOff>
      <xdr:row>3</xdr:row>
      <xdr:rowOff>72238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79BC228-5E1E-4087-BF29-FA6D20225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200" y="95250"/>
          <a:ext cx="2706858" cy="40561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8</xdr:row>
      <xdr:rowOff>38100</xdr:rowOff>
    </xdr:from>
    <xdr:to>
      <xdr:col>14</xdr:col>
      <xdr:colOff>342901</xdr:colOff>
      <xdr:row>36</xdr:row>
      <xdr:rowOff>21857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4159A51-297F-77DC-59BE-5141745B4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20326" y="1362075"/>
          <a:ext cx="5219700" cy="5317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97693</xdr:colOff>
      <xdr:row>0</xdr:row>
      <xdr:rowOff>89144</xdr:rowOff>
    </xdr:from>
    <xdr:to>
      <xdr:col>7</xdr:col>
      <xdr:colOff>699282</xdr:colOff>
      <xdr:row>2</xdr:row>
      <xdr:rowOff>161748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555560F-E567-94D8-2034-BC051C312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193" y="89144"/>
          <a:ext cx="2697089" cy="421854"/>
        </a:xfrm>
        <a:prstGeom prst="rect">
          <a:avLst/>
        </a:prstGeom>
      </xdr:spPr>
    </xdr:pic>
    <xdr:clientData/>
  </xdr:twoCellAnchor>
  <xdr:twoCellAnchor editAs="oneCell">
    <xdr:from>
      <xdr:col>0</xdr:col>
      <xdr:colOff>39214</xdr:colOff>
      <xdr:row>0</xdr:row>
      <xdr:rowOff>43543</xdr:rowOff>
    </xdr:from>
    <xdr:to>
      <xdr:col>2</xdr:col>
      <xdr:colOff>484414</xdr:colOff>
      <xdr:row>13</xdr:row>
      <xdr:rowOff>120454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217D1392-BB86-0F9B-99BF-65107A5F5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59" r="52073" b="12915"/>
        <a:stretch/>
      </xdr:blipFill>
      <xdr:spPr>
        <a:xfrm>
          <a:off x="39214" y="43543"/>
          <a:ext cx="1969200" cy="24227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47628</xdr:colOff>
      <xdr:row>0</xdr:row>
      <xdr:rowOff>28576</xdr:rowOff>
    </xdr:from>
    <xdr:to>
      <xdr:col>6</xdr:col>
      <xdr:colOff>228600</xdr:colOff>
      <xdr:row>12</xdr:row>
      <xdr:rowOff>171931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976631E-D593-1BE1-233D-C6D07F58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" t="14706" b="14675"/>
        <a:stretch/>
      </xdr:blipFill>
      <xdr:spPr>
        <a:xfrm>
          <a:off x="47628" y="28576"/>
          <a:ext cx="4067172" cy="2326261"/>
        </a:xfrm>
        <a:prstGeom prst="rect">
          <a:avLst/>
        </a:prstGeom>
      </xdr:spPr>
    </xdr:pic>
    <xdr:clientData/>
  </xdr:twoCellAnchor>
  <xdr:twoCellAnchor editAs="oneCell">
    <xdr:from>
      <xdr:col>5</xdr:col>
      <xdr:colOff>449322</xdr:colOff>
      <xdr:row>0</xdr:row>
      <xdr:rowOff>85725</xdr:rowOff>
    </xdr:from>
    <xdr:to>
      <xdr:col>9</xdr:col>
      <xdr:colOff>588245</xdr:colOff>
      <xdr:row>2</xdr:row>
      <xdr:rowOff>165334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E2B5DEB-F30F-6A49-3B68-94EBDF1DF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3168" y="85725"/>
          <a:ext cx="2718000" cy="4459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38101</xdr:rowOff>
    </xdr:from>
    <xdr:to>
      <xdr:col>5</xdr:col>
      <xdr:colOff>740088</xdr:colOff>
      <xdr:row>12</xdr:row>
      <xdr:rowOff>148318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68D2DB-1F90-7A8E-DF04-64E6540BA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08" b="14062"/>
        <a:stretch/>
      </xdr:blipFill>
      <xdr:spPr>
        <a:xfrm>
          <a:off x="28574" y="38101"/>
          <a:ext cx="3902389" cy="229552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0</xdr:row>
      <xdr:rowOff>47625</xdr:rowOff>
    </xdr:from>
    <xdr:to>
      <xdr:col>8</xdr:col>
      <xdr:colOff>701599</xdr:colOff>
      <xdr:row>2</xdr:row>
      <xdr:rowOff>126917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CCA0244-DA6E-5C97-D23A-79DB1D364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67295" y="47625"/>
          <a:ext cx="2718000" cy="4437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4</xdr:row>
      <xdr:rowOff>74521</xdr:rowOff>
    </xdr:from>
    <xdr:to>
      <xdr:col>8</xdr:col>
      <xdr:colOff>12424</xdr:colOff>
      <xdr:row>17</xdr:row>
      <xdr:rowOff>91052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5AF21F2-CEFC-C8D6-636E-F3C40D7FDA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3" b="18199"/>
        <a:stretch/>
      </xdr:blipFill>
      <xdr:spPr>
        <a:xfrm>
          <a:off x="76201" y="761978"/>
          <a:ext cx="4934778" cy="2223846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123824</xdr:colOff>
      <xdr:row>0</xdr:row>
      <xdr:rowOff>57150</xdr:rowOff>
    </xdr:from>
    <xdr:to>
      <xdr:col>10</xdr:col>
      <xdr:colOff>517724</xdr:colOff>
      <xdr:row>2</xdr:row>
      <xdr:rowOff>135957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440F3AD-FBE8-10AA-A8B9-0D32DBCB8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9974" y="57150"/>
          <a:ext cx="2718000" cy="4407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289892</xdr:colOff>
      <xdr:row>0</xdr:row>
      <xdr:rowOff>74543</xdr:rowOff>
    </xdr:from>
    <xdr:to>
      <xdr:col>8</xdr:col>
      <xdr:colOff>474242</xdr:colOff>
      <xdr:row>2</xdr:row>
      <xdr:rowOff>150989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CCBF79-F2B4-CC91-CD86-1145B025E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8892" y="74543"/>
          <a:ext cx="2718000" cy="43839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52388</xdr:rowOff>
    </xdr:from>
    <xdr:to>
      <xdr:col>3</xdr:col>
      <xdr:colOff>261938</xdr:colOff>
      <xdr:row>13</xdr:row>
      <xdr:rowOff>152400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2F4D83-E02A-4B80-D0CC-45067DE0B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2388"/>
          <a:ext cx="2928938" cy="2343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43962</xdr:colOff>
      <xdr:row>0</xdr:row>
      <xdr:rowOff>73268</xdr:rowOff>
    </xdr:from>
    <xdr:to>
      <xdr:col>5</xdr:col>
      <xdr:colOff>291612</xdr:colOff>
      <xdr:row>14</xdr:row>
      <xdr:rowOff>33263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4B3276E-C278-1402-6C07-31548E88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2" y="73268"/>
          <a:ext cx="3288323" cy="2636520"/>
        </a:xfrm>
        <a:prstGeom prst="rect">
          <a:avLst/>
        </a:prstGeom>
      </xdr:spPr>
    </xdr:pic>
    <xdr:clientData/>
  </xdr:twoCellAnchor>
  <xdr:twoCellAnchor editAs="oneCell">
    <xdr:from>
      <xdr:col>5</xdr:col>
      <xdr:colOff>175846</xdr:colOff>
      <xdr:row>0</xdr:row>
      <xdr:rowOff>80596</xdr:rowOff>
    </xdr:from>
    <xdr:to>
      <xdr:col>8</xdr:col>
      <xdr:colOff>723802</xdr:colOff>
      <xdr:row>2</xdr:row>
      <xdr:rowOff>141340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1EC181E-5FA5-7E44-945B-C81E99FBE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0411" y="80596"/>
          <a:ext cx="2718000" cy="4417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175846</xdr:colOff>
      <xdr:row>0</xdr:row>
      <xdr:rowOff>80596</xdr:rowOff>
    </xdr:from>
    <xdr:to>
      <xdr:col>8</xdr:col>
      <xdr:colOff>723802</xdr:colOff>
      <xdr:row>2</xdr:row>
      <xdr:rowOff>141340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4D12CB-8950-4C58-99B5-D9DE2513D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5259" y="80596"/>
          <a:ext cx="2718000" cy="44174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0</xdr:row>
      <xdr:rowOff>38097</xdr:rowOff>
    </xdr:from>
    <xdr:to>
      <xdr:col>5</xdr:col>
      <xdr:colOff>620</xdr:colOff>
      <xdr:row>14</xdr:row>
      <xdr:rowOff>66674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14CFE44-C5E3-42F6-3460-7ED41BBDDC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67" t="2052" r="16250" b="2819"/>
        <a:stretch/>
      </xdr:blipFill>
      <xdr:spPr>
        <a:xfrm rot="16200000">
          <a:off x="219385" y="-114612"/>
          <a:ext cx="2705102" cy="3010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175846</xdr:colOff>
      <xdr:row>0</xdr:row>
      <xdr:rowOff>80596</xdr:rowOff>
    </xdr:from>
    <xdr:to>
      <xdr:col>8</xdr:col>
      <xdr:colOff>722146</xdr:colOff>
      <xdr:row>2</xdr:row>
      <xdr:rowOff>141070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1873593-2FB9-4E7E-96D5-36EDD5DFD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3846" y="80596"/>
          <a:ext cx="2718000" cy="4414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33336</xdr:colOff>
      <xdr:row>1</xdr:row>
      <xdr:rowOff>38101</xdr:rowOff>
    </xdr:from>
    <xdr:to>
      <xdr:col>5</xdr:col>
      <xdr:colOff>163283</xdr:colOff>
      <xdr:row>13</xdr:row>
      <xdr:rowOff>71438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3E7075F-AF91-EB82-9B75-605E4BC74D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60" b="7235"/>
        <a:stretch/>
      </xdr:blipFill>
      <xdr:spPr>
        <a:xfrm>
          <a:off x="33336" y="219076"/>
          <a:ext cx="3368447" cy="2209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233561</xdr:colOff>
      <xdr:row>0</xdr:row>
      <xdr:rowOff>77441</xdr:rowOff>
    </xdr:from>
    <xdr:to>
      <xdr:col>10</xdr:col>
      <xdr:colOff>632431</xdr:colOff>
      <xdr:row>2</xdr:row>
      <xdr:rowOff>155926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A8898CC-5F06-49E7-B65B-5640D764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8518" y="77441"/>
          <a:ext cx="2718000" cy="442920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0</xdr:row>
      <xdr:rowOff>43961</xdr:rowOff>
    </xdr:from>
    <xdr:to>
      <xdr:col>6</xdr:col>
      <xdr:colOff>95983</xdr:colOff>
      <xdr:row>11</xdr:row>
      <xdr:rowOff>4241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3D9F0192-58A8-2B57-E0DF-E71F93F1B0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9" b="14515"/>
        <a:stretch/>
      </xdr:blipFill>
      <xdr:spPr>
        <a:xfrm>
          <a:off x="14654" y="43961"/>
          <a:ext cx="3619500" cy="19825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47625</xdr:rowOff>
    </xdr:from>
    <xdr:to>
      <xdr:col>8</xdr:col>
      <xdr:colOff>336750</xdr:colOff>
      <xdr:row>2</xdr:row>
      <xdr:rowOff>109816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FBE82E4-C8D8-46AA-9545-DFA1ED5FB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47625"/>
          <a:ext cx="2718000" cy="44319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3</xdr:col>
      <xdr:colOff>361950</xdr:colOff>
      <xdr:row>13</xdr:row>
      <xdr:rowOff>121949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943C01B-9F8C-0FAA-143F-B6D15B2AA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19" r="42769" b="7169"/>
        <a:stretch/>
      </xdr:blipFill>
      <xdr:spPr>
        <a:xfrm>
          <a:off x="57150" y="38100"/>
          <a:ext cx="2162175" cy="25603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37598</xdr:colOff>
      <xdr:row>0</xdr:row>
      <xdr:rowOff>95751</xdr:rowOff>
    </xdr:from>
    <xdr:to>
      <xdr:col>10</xdr:col>
      <xdr:colOff>698587</xdr:colOff>
      <xdr:row>2</xdr:row>
      <xdr:rowOff>153701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CD31D7D7-B5FF-4B20-BBD8-82892F331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1585" y="95751"/>
          <a:ext cx="2716384" cy="438950"/>
        </a:xfrm>
        <a:prstGeom prst="rect">
          <a:avLst/>
        </a:prstGeom>
      </xdr:spPr>
    </xdr:pic>
    <xdr:clientData/>
  </xdr:twoCellAnchor>
  <xdr:twoCellAnchor editAs="oneCell">
    <xdr:from>
      <xdr:col>0</xdr:col>
      <xdr:colOff>84911</xdr:colOff>
      <xdr:row>2</xdr:row>
      <xdr:rowOff>134469</xdr:rowOff>
    </xdr:from>
    <xdr:to>
      <xdr:col>7</xdr:col>
      <xdr:colOff>418994</xdr:colOff>
      <xdr:row>13</xdr:row>
      <xdr:rowOff>179294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438E885-A026-4977-C5A6-B0D15B8120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58" b="20330"/>
        <a:stretch/>
      </xdr:blipFill>
      <xdr:spPr>
        <a:xfrm>
          <a:off x="84911" y="515469"/>
          <a:ext cx="4424230" cy="214032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conox.nl/nl_NL/page/1873/rechthoekige-luchtkanal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A5E53-2B4B-45C6-B88E-0FD8D7A3810C}">
  <dimension ref="A1:R328"/>
  <sheetViews>
    <sheetView view="pageBreakPreview" zoomScaleNormal="100" zoomScaleSheetLayoutView="100" workbookViewId="0">
      <pane ySplit="7" topLeftCell="A8" activePane="bottomLeft" state="frozen"/>
      <selection pane="bottomLeft" activeCell="E1" sqref="E1"/>
    </sheetView>
  </sheetViews>
  <sheetFormatPr defaultColWidth="9.140625" defaultRowHeight="9"/>
  <cols>
    <col min="1" max="1" width="39.42578125" style="253" bestFit="1" customWidth="1"/>
    <col min="2" max="2" width="49" style="253" bestFit="1" customWidth="1"/>
    <col min="3" max="4" width="16" style="253" bestFit="1" customWidth="1"/>
    <col min="5" max="5" width="23.7109375" style="253" bestFit="1" customWidth="1"/>
    <col min="6" max="16384" width="9.140625" style="253"/>
  </cols>
  <sheetData>
    <row r="1" spans="1:18" ht="11.25">
      <c r="A1" s="251" t="s">
        <v>0</v>
      </c>
      <c r="B1" s="252"/>
      <c r="E1" s="254" t="s">
        <v>1</v>
      </c>
    </row>
    <row r="2" spans="1:18" ht="11.25">
      <c r="A2" s="255" t="s">
        <v>2</v>
      </c>
      <c r="B2" s="256"/>
    </row>
    <row r="3" spans="1:18" ht="11.25">
      <c r="A3" s="255" t="s">
        <v>3</v>
      </c>
      <c r="B3" s="256"/>
    </row>
    <row r="4" spans="1:18" ht="11.25">
      <c r="A4" s="255" t="s">
        <v>4</v>
      </c>
      <c r="B4" s="256"/>
    </row>
    <row r="5" spans="1:18" ht="12" thickBot="1">
      <c r="A5" s="257" t="s">
        <v>5</v>
      </c>
      <c r="B5" s="258"/>
    </row>
    <row r="6" spans="1:18" ht="9" customHeight="1" thickBot="1"/>
    <row r="7" spans="1:18" ht="21.95" customHeight="1" thickBot="1">
      <c r="B7" s="417" t="s">
        <v>6</v>
      </c>
      <c r="C7" s="418" t="s">
        <v>7</v>
      </c>
      <c r="D7" s="419" t="s">
        <v>8</v>
      </c>
      <c r="E7" s="420" t="s">
        <v>9</v>
      </c>
    </row>
    <row r="8" spans="1:18" ht="16.5" customHeight="1" thickBot="1">
      <c r="A8" s="436"/>
      <c r="B8" s="437"/>
      <c r="C8" s="438"/>
      <c r="D8" s="439"/>
      <c r="E8" s="440"/>
      <c r="G8" s="444" t="s">
        <v>10</v>
      </c>
      <c r="H8" s="442"/>
      <c r="I8" s="443"/>
      <c r="J8" s="443"/>
      <c r="K8" s="443"/>
      <c r="L8" s="443"/>
      <c r="M8" s="443"/>
      <c r="N8" s="443"/>
      <c r="O8" s="443"/>
      <c r="P8" s="443"/>
      <c r="Q8" s="443"/>
      <c r="R8" s="443"/>
    </row>
    <row r="9" spans="1:18" ht="15" customHeight="1">
      <c r="A9" s="346" t="str">
        <f>informatieblad!D12</f>
        <v>Rechte Kanalen  (RctD)</v>
      </c>
      <c r="B9" s="347"/>
      <c r="C9" s="347"/>
      <c r="D9" s="347"/>
      <c r="E9" s="347"/>
      <c r="H9" s="443"/>
      <c r="I9" s="443"/>
      <c r="J9" s="443"/>
      <c r="K9" s="443"/>
      <c r="L9" s="443"/>
      <c r="M9" s="443"/>
      <c r="N9" s="443"/>
      <c r="O9" s="443"/>
      <c r="P9" s="443"/>
      <c r="Q9" s="443"/>
      <c r="R9" s="443"/>
    </row>
    <row r="10" spans="1:18" ht="15" customHeight="1">
      <c r="A10" s="352" t="str">
        <f>'Rechte Kanalen'!I17</f>
        <v>None</v>
      </c>
      <c r="B10" s="348" t="str">
        <f>'Rechte Kanalen'!E22</f>
        <v>-RctD------Options None</v>
      </c>
      <c r="C10" s="297">
        <f>'Rechte Kanalen'!C23</f>
        <v>0</v>
      </c>
      <c r="D10" s="297">
        <f>'Rechte Kanalen'!O23*'Rechte Kanalen'!C23</f>
        <v>0</v>
      </c>
      <c r="E10" s="350">
        <f>'Rechte Kanalen'!S23</f>
        <v>0</v>
      </c>
      <c r="H10" s="443"/>
      <c r="I10" s="443"/>
      <c r="J10" s="443"/>
      <c r="K10" s="443"/>
      <c r="L10" s="443"/>
      <c r="M10" s="443"/>
      <c r="N10" s="443"/>
      <c r="O10" s="443"/>
      <c r="P10" s="443"/>
      <c r="Q10" s="443"/>
      <c r="R10" s="443"/>
    </row>
    <row r="11" spans="1:18" ht="15" customHeight="1">
      <c r="A11" s="352" t="str">
        <f>'Rechte Kanalen'!I21</f>
        <v>None</v>
      </c>
      <c r="B11" s="348" t="str">
        <f>'Rechte Kanalen'!E26</f>
        <v>-RctD------Options None</v>
      </c>
      <c r="C11" s="297">
        <f>'Rechte Kanalen'!C27</f>
        <v>0</v>
      </c>
      <c r="D11" s="297">
        <f>'Rechte Kanalen'!O27*'Rechte Kanalen'!C27</f>
        <v>0</v>
      </c>
      <c r="E11" s="350">
        <f>'Rechte Kanalen'!S27</f>
        <v>0</v>
      </c>
      <c r="H11" s="443"/>
      <c r="I11" s="443"/>
      <c r="J11" s="443"/>
      <c r="K11" s="443"/>
      <c r="L11" s="443"/>
      <c r="M11" s="443"/>
      <c r="N11" s="443"/>
      <c r="O11" s="443"/>
      <c r="P11" s="443"/>
      <c r="Q11" s="443"/>
      <c r="R11" s="443"/>
    </row>
    <row r="12" spans="1:18" ht="15" customHeight="1">
      <c r="A12" s="352" t="str">
        <f>'Rechte Kanalen'!I25</f>
        <v>None</v>
      </c>
      <c r="B12" s="348" t="str">
        <f>'Rechte Kanalen'!E30</f>
        <v>-RctD------Options None</v>
      </c>
      <c r="C12" s="297">
        <f>'Rechte Kanalen'!C31</f>
        <v>0</v>
      </c>
      <c r="D12" s="297">
        <f>'Rechte Kanalen'!O31*'Rechte Kanalen'!C31</f>
        <v>0</v>
      </c>
      <c r="E12" s="350">
        <f>'Rechte Kanalen'!S31</f>
        <v>0</v>
      </c>
      <c r="H12" s="443"/>
      <c r="I12" s="443"/>
      <c r="J12" s="443"/>
      <c r="K12" s="443"/>
      <c r="L12" s="443"/>
      <c r="M12" s="443"/>
      <c r="N12" s="443"/>
      <c r="O12" s="443"/>
      <c r="P12" s="443"/>
      <c r="Q12" s="443"/>
      <c r="R12" s="443"/>
    </row>
    <row r="13" spans="1:18" ht="15" customHeight="1">
      <c r="A13" s="352" t="str">
        <f>'Rechte Kanalen'!I29</f>
        <v>None</v>
      </c>
      <c r="B13" s="348" t="str">
        <f>'Rechte Kanalen'!E34</f>
        <v>-RctD------Options None</v>
      </c>
      <c r="C13" s="297">
        <f>'Rechte Kanalen'!C35</f>
        <v>0</v>
      </c>
      <c r="D13" s="297">
        <f>'Rechte Kanalen'!O35*'Rechte Kanalen'!C35</f>
        <v>0</v>
      </c>
      <c r="E13" s="350">
        <f>'Rechte Kanalen'!S35</f>
        <v>0</v>
      </c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</row>
    <row r="14" spans="1:18" ht="15" customHeight="1">
      <c r="A14" s="352" t="str">
        <f>'Rechte Kanalen'!I33</f>
        <v>None</v>
      </c>
      <c r="B14" s="348" t="str">
        <f>'Rechte Kanalen'!E38</f>
        <v>-RctD------Options None</v>
      </c>
      <c r="C14" s="297">
        <f>'Rechte Kanalen'!C39</f>
        <v>0</v>
      </c>
      <c r="D14" s="297">
        <f>'Rechte Kanalen'!O39*'Rechte Kanalen'!C39</f>
        <v>0</v>
      </c>
      <c r="E14" s="350">
        <f>'Rechte Kanalen'!S39</f>
        <v>0</v>
      </c>
      <c r="H14" s="443"/>
      <c r="I14" s="443"/>
      <c r="J14" s="443"/>
      <c r="K14" s="443"/>
      <c r="L14" s="443"/>
      <c r="M14" s="443"/>
      <c r="N14" s="443"/>
      <c r="O14" s="443"/>
      <c r="P14" s="443"/>
      <c r="Q14" s="443"/>
      <c r="R14" s="443"/>
    </row>
    <row r="15" spans="1:18" ht="15" customHeight="1">
      <c r="A15" s="352" t="str">
        <f>'Rechte Kanalen'!I25</f>
        <v>None</v>
      </c>
      <c r="B15" s="348" t="str">
        <f>'Rechte Kanalen'!E42</f>
        <v>-RctD------Options None</v>
      </c>
      <c r="C15" s="297">
        <f>'Rechte Kanalen'!C43</f>
        <v>0</v>
      </c>
      <c r="D15" s="297">
        <f>'Rechte Kanalen'!O43*'Rechte Kanalen'!C43</f>
        <v>0</v>
      </c>
      <c r="E15" s="350">
        <f>'Rechte Kanalen'!S43</f>
        <v>0</v>
      </c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</row>
    <row r="16" spans="1:18" ht="15" customHeight="1">
      <c r="A16" s="352" t="str">
        <f>'Rechte Kanalen'!I37</f>
        <v>None</v>
      </c>
      <c r="B16" s="348" t="str">
        <f>'Rechte Kanalen'!E46</f>
        <v>-RctD------Options None</v>
      </c>
      <c r="C16" s="297">
        <f>'Rechte Kanalen'!C47</f>
        <v>0</v>
      </c>
      <c r="D16" s="297">
        <f>'Rechte Kanalen'!O47*'Rechte Kanalen'!C47</f>
        <v>0</v>
      </c>
      <c r="E16" s="350">
        <f>'Rechte Kanalen'!S47</f>
        <v>0</v>
      </c>
      <c r="H16" s="443"/>
      <c r="I16" s="443"/>
      <c r="J16" s="443"/>
      <c r="K16" s="443"/>
      <c r="L16" s="443"/>
      <c r="M16" s="443"/>
      <c r="N16" s="443"/>
      <c r="O16" s="443"/>
      <c r="P16" s="443"/>
      <c r="Q16" s="443"/>
      <c r="R16" s="443"/>
    </row>
    <row r="17" spans="1:18" ht="15" customHeight="1">
      <c r="A17" s="352" t="str">
        <f>'Rechte Kanalen'!I41</f>
        <v>None</v>
      </c>
      <c r="B17" s="348" t="str">
        <f>'Rechte Kanalen'!E50</f>
        <v>-RctD------Options None</v>
      </c>
      <c r="C17" s="297">
        <f>'Rechte Kanalen'!C51</f>
        <v>0</v>
      </c>
      <c r="D17" s="297">
        <f>'Rechte Kanalen'!O51*'Rechte Kanalen'!C51</f>
        <v>0</v>
      </c>
      <c r="E17" s="350">
        <f>'Rechte Kanalen'!S51</f>
        <v>0</v>
      </c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</row>
    <row r="18" spans="1:18" ht="15" customHeight="1">
      <c r="A18" s="352" t="str">
        <f>'Rechte Kanalen'!I45</f>
        <v>None</v>
      </c>
      <c r="B18" s="348" t="str">
        <f>'Rechte Kanalen'!E54</f>
        <v>-RctD------Options None</v>
      </c>
      <c r="C18" s="297">
        <f>'Rechte Kanalen'!C55</f>
        <v>0</v>
      </c>
      <c r="D18" s="297">
        <f>'Rechte Kanalen'!O55*'Rechte Kanalen'!C55</f>
        <v>0</v>
      </c>
      <c r="E18" s="350">
        <f>'Rechte Kanalen'!S55</f>
        <v>0</v>
      </c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</row>
    <row r="19" spans="1:18" ht="15" customHeight="1">
      <c r="A19" s="352" t="str">
        <f>'Rechte Kanalen'!I49</f>
        <v>None</v>
      </c>
      <c r="B19" s="348" t="str">
        <f>'Rechte Kanalen'!E58</f>
        <v>-RctD------Options None</v>
      </c>
      <c r="C19" s="297">
        <f>'Rechte Kanalen'!C59</f>
        <v>0</v>
      </c>
      <c r="D19" s="297">
        <f>'Rechte Kanalen'!O59*'Rechte Kanalen'!C59</f>
        <v>0</v>
      </c>
      <c r="E19" s="350">
        <f>'Rechte Kanalen'!S59</f>
        <v>0</v>
      </c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</row>
    <row r="20" spans="1:18" ht="15" customHeight="1">
      <c r="A20" s="352" t="str">
        <f>'Rechte Kanalen'!I53</f>
        <v>None</v>
      </c>
      <c r="B20" s="348" t="str">
        <f>'Rechte Kanalen'!E62</f>
        <v>-RctD------Options None</v>
      </c>
      <c r="C20" s="297">
        <f>'Rechte Kanalen'!C63</f>
        <v>0</v>
      </c>
      <c r="D20" s="297">
        <f>'Rechte Kanalen'!O63*'Rechte Kanalen'!C63</f>
        <v>0</v>
      </c>
      <c r="E20" s="350">
        <f>'Rechte Kanalen'!S63</f>
        <v>0</v>
      </c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</row>
    <row r="21" spans="1:18" ht="15" customHeight="1">
      <c r="A21" s="352" t="str">
        <f>'Rechte Kanalen'!I57</f>
        <v>None</v>
      </c>
      <c r="B21" s="348" t="str">
        <f>'Rechte Kanalen'!E66</f>
        <v>-RctD------Options None</v>
      </c>
      <c r="C21" s="297">
        <f>'Rechte Kanalen'!C67</f>
        <v>0</v>
      </c>
      <c r="D21" s="297">
        <f>'Rechte Kanalen'!O67*'Rechte Kanalen'!C67</f>
        <v>0</v>
      </c>
      <c r="E21" s="350">
        <f>'Rechte Kanalen'!S67</f>
        <v>0</v>
      </c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</row>
    <row r="22" spans="1:18" ht="15" customHeight="1">
      <c r="A22" s="352" t="str">
        <f>'Rechte Kanalen'!I61</f>
        <v>None</v>
      </c>
      <c r="B22" s="348" t="str">
        <f>'Rechte Kanalen'!E70</f>
        <v>-RctD------Options None</v>
      </c>
      <c r="C22" s="297">
        <f>'Rechte Kanalen'!C71</f>
        <v>0</v>
      </c>
      <c r="D22" s="297">
        <f>'Rechte Kanalen'!O71*'Rechte Kanalen'!C71</f>
        <v>0</v>
      </c>
      <c r="E22" s="350">
        <f>'Rechte Kanalen'!S71</f>
        <v>0</v>
      </c>
      <c r="H22" s="443"/>
      <c r="I22" s="443"/>
      <c r="J22" s="443"/>
      <c r="K22" s="443"/>
      <c r="L22" s="443"/>
      <c r="M22" s="443"/>
      <c r="N22" s="443"/>
      <c r="O22" s="443"/>
      <c r="P22" s="443"/>
      <c r="Q22" s="443"/>
      <c r="R22" s="443"/>
    </row>
    <row r="23" spans="1:18" ht="15" customHeight="1">
      <c r="A23" s="352" t="str">
        <f>'Rechte Kanalen'!I65</f>
        <v>None</v>
      </c>
      <c r="B23" s="348" t="str">
        <f>'Rechte Kanalen'!E74</f>
        <v>-RctD------Options None</v>
      </c>
      <c r="C23" s="297">
        <f>'Rechte Kanalen'!C75</f>
        <v>0</v>
      </c>
      <c r="D23" s="297">
        <f>'Rechte Kanalen'!O75*'Rechte Kanalen'!C75</f>
        <v>0</v>
      </c>
      <c r="E23" s="350">
        <f>'Rechte Kanalen'!S75</f>
        <v>0</v>
      </c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</row>
    <row r="24" spans="1:18" ht="15" customHeight="1">
      <c r="A24" s="352" t="str">
        <f>'Rechte Kanalen'!I69</f>
        <v>None</v>
      </c>
      <c r="B24" s="348" t="str">
        <f>'Rechte Kanalen'!E78</f>
        <v>-RctD------Options None</v>
      </c>
      <c r="C24" s="297">
        <f>'Rechte Kanalen'!C79</f>
        <v>0</v>
      </c>
      <c r="D24" s="297">
        <f>'Rechte Kanalen'!O79*'Rechte Kanalen'!C79</f>
        <v>0</v>
      </c>
      <c r="E24" s="350">
        <f>'Rechte Kanalen'!S79</f>
        <v>0</v>
      </c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</row>
    <row r="25" spans="1:18" ht="15" customHeight="1">
      <c r="A25" s="352" t="str">
        <f>'Rechte Kanalen'!I73</f>
        <v>None</v>
      </c>
      <c r="B25" s="348" t="str">
        <f>'Rechte Kanalen'!E82</f>
        <v>-RctD------Options None</v>
      </c>
      <c r="C25" s="297">
        <f>'Rechte Kanalen'!C83</f>
        <v>0</v>
      </c>
      <c r="D25" s="297">
        <f>'Rechte Kanalen'!O83*'Rechte Kanalen'!C83</f>
        <v>0</v>
      </c>
      <c r="E25" s="350">
        <f>'Rechte Kanalen'!S83</f>
        <v>0</v>
      </c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</row>
    <row r="26" spans="1:18" ht="15" customHeight="1">
      <c r="A26" s="352" t="str">
        <f>'Rechte Kanalen'!I77</f>
        <v>None</v>
      </c>
      <c r="B26" s="348" t="str">
        <f>'Rechte Kanalen'!E86</f>
        <v>-RctD------Options None</v>
      </c>
      <c r="C26" s="297">
        <f>'Rechte Kanalen'!C87</f>
        <v>0</v>
      </c>
      <c r="D26" s="297">
        <f>'Rechte Kanalen'!O87*'Rechte Kanalen'!C87</f>
        <v>0</v>
      </c>
      <c r="E26" s="350">
        <f>'Rechte Kanalen'!S87</f>
        <v>0</v>
      </c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</row>
    <row r="27" spans="1:18" ht="15" customHeight="1">
      <c r="A27" s="352" t="str">
        <f>'Rechte Kanalen'!I81</f>
        <v>None</v>
      </c>
      <c r="B27" s="348" t="str">
        <f>'Rechte Kanalen'!E90</f>
        <v>-RctD------Options None</v>
      </c>
      <c r="C27" s="297">
        <f>'Rechte Kanalen'!C91</f>
        <v>0</v>
      </c>
      <c r="D27" s="297">
        <f>'Rechte Kanalen'!O91*'Rechte Kanalen'!C91</f>
        <v>0</v>
      </c>
      <c r="E27" s="350">
        <f>'Rechte Kanalen'!S91</f>
        <v>0</v>
      </c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</row>
    <row r="28" spans="1:18" ht="15" customHeight="1">
      <c r="A28" s="352" t="str">
        <f>'Rechte Kanalen'!I85</f>
        <v>None</v>
      </c>
      <c r="B28" s="348" t="str">
        <f>'Rechte Kanalen'!E94</f>
        <v>-RctD------Options None</v>
      </c>
      <c r="C28" s="297">
        <f>'Rechte Kanalen'!C95</f>
        <v>0</v>
      </c>
      <c r="D28" s="297">
        <f>'Rechte Kanalen'!O95*'Rechte Kanalen'!C95</f>
        <v>0</v>
      </c>
      <c r="E28" s="350">
        <f>'Rechte Kanalen'!S95</f>
        <v>0</v>
      </c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</row>
    <row r="29" spans="1:18" ht="15" customHeight="1">
      <c r="A29" s="352" t="str">
        <f>'Rechte Kanalen'!I89</f>
        <v>None</v>
      </c>
      <c r="B29" s="348" t="str">
        <f>'Rechte Kanalen'!E98</f>
        <v>-RctD------Options None</v>
      </c>
      <c r="C29" s="297">
        <f>'Rechte Kanalen'!C99</f>
        <v>0</v>
      </c>
      <c r="D29" s="297">
        <f>'Rechte Kanalen'!O99*'Rechte Kanalen'!C99</f>
        <v>0</v>
      </c>
      <c r="E29" s="350">
        <f>'Rechte Kanalen'!S99</f>
        <v>0</v>
      </c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</row>
    <row r="30" spans="1:18" ht="15" customHeight="1">
      <c r="A30" s="352" t="str">
        <f>'Rechte Kanalen'!I93</f>
        <v>None</v>
      </c>
      <c r="B30" s="348" t="str">
        <f>'Rechte Kanalen'!E102</f>
        <v>-RctD------Options None</v>
      </c>
      <c r="C30" s="297">
        <f>'Rechte Kanalen'!C103</f>
        <v>0</v>
      </c>
      <c r="D30" s="297">
        <f>'Rechte Kanalen'!O103*'Rechte Kanalen'!C103</f>
        <v>0</v>
      </c>
      <c r="E30" s="350">
        <f>'Rechte Kanalen'!S103</f>
        <v>0</v>
      </c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</row>
    <row r="31" spans="1:18" ht="15" customHeight="1">
      <c r="A31" s="352" t="str">
        <f>'Rechte Kanalen'!I97</f>
        <v>None</v>
      </c>
      <c r="B31" s="348" t="str">
        <f>'Rechte Kanalen'!E106</f>
        <v>-RctD------Options None</v>
      </c>
      <c r="C31" s="297">
        <f>'Rechte Kanalen'!C107</f>
        <v>0</v>
      </c>
      <c r="D31" s="297">
        <f>'Rechte Kanalen'!O107*'Rechte Kanalen'!C107</f>
        <v>0</v>
      </c>
      <c r="E31" s="350">
        <f>'Rechte Kanalen'!S107</f>
        <v>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</row>
    <row r="32" spans="1:18" ht="15" customHeight="1">
      <c r="A32" s="352" t="str">
        <f>'Rechte Kanalen'!I101</f>
        <v>None</v>
      </c>
      <c r="B32" s="348" t="str">
        <f>'Rechte Kanalen'!E110</f>
        <v>-RctD------Options None</v>
      </c>
      <c r="C32" s="297">
        <f>'Rechte Kanalen'!C111</f>
        <v>0</v>
      </c>
      <c r="D32" s="297">
        <f>'Rechte Kanalen'!O111*'Rechte Kanalen'!C111</f>
        <v>0</v>
      </c>
      <c r="E32" s="350">
        <f>'Rechte Kanalen'!S111</f>
        <v>0</v>
      </c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</row>
    <row r="33" spans="1:18" ht="15" customHeight="1">
      <c r="A33" s="352" t="str">
        <f>'Rechte Kanalen'!I105</f>
        <v>None</v>
      </c>
      <c r="B33" s="348" t="str">
        <f>'Rechte Kanalen'!E114</f>
        <v>-RctD------Options None</v>
      </c>
      <c r="C33" s="297">
        <f>'Rechte Kanalen'!C115</f>
        <v>0</v>
      </c>
      <c r="D33" s="297">
        <f>'Rechte Kanalen'!O115*'Rechte Kanalen'!C115</f>
        <v>0</v>
      </c>
      <c r="E33" s="350">
        <f>'Rechte Kanalen'!S115</f>
        <v>0</v>
      </c>
      <c r="H33" s="443"/>
      <c r="I33" s="443"/>
      <c r="J33" s="443"/>
      <c r="K33" s="443"/>
      <c r="L33" s="443"/>
      <c r="M33" s="443"/>
      <c r="N33" s="443"/>
      <c r="O33" s="443"/>
      <c r="P33" s="443"/>
      <c r="Q33" s="443"/>
      <c r="R33" s="443"/>
    </row>
    <row r="34" spans="1:18" ht="15" customHeight="1">
      <c r="A34" s="352" t="str">
        <f>'Rechte Kanalen'!I109</f>
        <v>None</v>
      </c>
      <c r="B34" s="348" t="str">
        <f>'Rechte Kanalen'!E118</f>
        <v>-RctD------Options None</v>
      </c>
      <c r="C34" s="297">
        <f>'Rechte Kanalen'!C119</f>
        <v>0</v>
      </c>
      <c r="D34" s="297">
        <f>'Rechte Kanalen'!O119*'Rechte Kanalen'!C119</f>
        <v>0</v>
      </c>
      <c r="E34" s="350">
        <f>'Rechte Kanalen'!S119</f>
        <v>0</v>
      </c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</row>
    <row r="35" spans="1:18" ht="15" customHeight="1">
      <c r="A35" s="352" t="str">
        <f>'Rechte Kanalen'!I113</f>
        <v>None</v>
      </c>
      <c r="B35" s="348" t="str">
        <f>'Rechte Kanalen'!E122</f>
        <v>-RctD------Options None</v>
      </c>
      <c r="C35" s="297">
        <f>'Rechte Kanalen'!C123</f>
        <v>0</v>
      </c>
      <c r="D35" s="297">
        <f>'Rechte Kanalen'!O123*'Rechte Kanalen'!C123</f>
        <v>0</v>
      </c>
      <c r="E35" s="350">
        <f>'Rechte Kanalen'!S123</f>
        <v>0</v>
      </c>
      <c r="H35" s="443"/>
      <c r="I35" s="443"/>
      <c r="J35" s="443"/>
      <c r="K35" s="443"/>
      <c r="L35" s="443"/>
      <c r="M35" s="443"/>
      <c r="N35" s="443"/>
      <c r="O35" s="443"/>
      <c r="P35" s="443"/>
      <c r="Q35" s="443"/>
      <c r="R35" s="443"/>
    </row>
    <row r="36" spans="1:18" ht="15" customHeight="1">
      <c r="A36" s="352" t="str">
        <f>'Rechte Kanalen'!I117</f>
        <v>None</v>
      </c>
      <c r="B36" s="348" t="str">
        <f>'Rechte Kanalen'!E126</f>
        <v>-RctD------Options None</v>
      </c>
      <c r="C36" s="297">
        <f>'Rechte Kanalen'!C127</f>
        <v>0</v>
      </c>
      <c r="D36" s="297">
        <f>'Rechte Kanalen'!O127*'Rechte Kanalen'!C127</f>
        <v>0</v>
      </c>
      <c r="E36" s="350">
        <f>'Rechte Kanalen'!S127</f>
        <v>0</v>
      </c>
      <c r="H36" s="443"/>
      <c r="I36" s="443"/>
      <c r="J36" s="443"/>
      <c r="K36" s="443"/>
      <c r="L36" s="443"/>
      <c r="M36" s="443"/>
      <c r="N36" s="443"/>
      <c r="O36" s="443"/>
      <c r="P36" s="443"/>
      <c r="Q36" s="443"/>
      <c r="R36" s="443"/>
    </row>
    <row r="37" spans="1:18" ht="15" customHeight="1">
      <c r="A37" s="352" t="str">
        <f>'Rechte Kanalen'!I121</f>
        <v>None</v>
      </c>
      <c r="B37" s="348" t="str">
        <f>'Rechte Kanalen'!E130</f>
        <v>-RctD------Options None</v>
      </c>
      <c r="C37" s="297">
        <f>'Rechte Kanalen'!C131</f>
        <v>0</v>
      </c>
      <c r="D37" s="297">
        <f>'Rechte Kanalen'!O131*'Rechte Kanalen'!C131</f>
        <v>0</v>
      </c>
      <c r="E37" s="350">
        <f>'Rechte Kanalen'!S131</f>
        <v>0</v>
      </c>
      <c r="H37" s="443"/>
      <c r="I37" s="443"/>
      <c r="J37" s="443"/>
      <c r="K37" s="443"/>
      <c r="L37" s="443"/>
      <c r="M37" s="443"/>
      <c r="N37" s="443"/>
      <c r="O37" s="443"/>
      <c r="P37" s="443"/>
      <c r="Q37" s="443"/>
      <c r="R37" s="443"/>
    </row>
    <row r="38" spans="1:18" ht="15" customHeight="1">
      <c r="A38" s="352" t="str">
        <f>'Rechte Kanalen'!I125</f>
        <v>None</v>
      </c>
      <c r="B38" s="348" t="str">
        <f>'Rechte Kanalen'!E134</f>
        <v>-RctD------Options None</v>
      </c>
      <c r="C38" s="297">
        <f>'Rechte Kanalen'!C135</f>
        <v>0</v>
      </c>
      <c r="D38" s="297">
        <f>'Rechte Kanalen'!O135*'Rechte Kanalen'!C135</f>
        <v>0</v>
      </c>
      <c r="E38" s="350">
        <f>'Rechte Kanalen'!S135</f>
        <v>0</v>
      </c>
      <c r="H38" s="443"/>
      <c r="I38" s="443"/>
      <c r="J38" s="443"/>
      <c r="K38" s="443"/>
      <c r="L38" s="443"/>
      <c r="M38" s="443"/>
      <c r="N38" s="443"/>
      <c r="O38" s="443"/>
      <c r="P38" s="443"/>
      <c r="Q38" s="443"/>
      <c r="R38" s="443"/>
    </row>
    <row r="39" spans="1:18" ht="15" customHeight="1" thickBot="1">
      <c r="A39" s="357" t="str">
        <f>'Rechte Kanalen'!I129</f>
        <v>None</v>
      </c>
      <c r="B39" s="358" t="str">
        <f>'Rechte Kanalen'!E138</f>
        <v>-RctD------Options None</v>
      </c>
      <c r="C39" s="356">
        <f>'Rechte Kanalen'!C139</f>
        <v>0</v>
      </c>
      <c r="D39" s="356">
        <f>'Rechte Kanalen'!O139*'Rechte Kanalen'!C139</f>
        <v>0</v>
      </c>
      <c r="E39" s="359">
        <f>'Rechte Kanalen'!S139</f>
        <v>0</v>
      </c>
      <c r="H39" s="443"/>
      <c r="I39" s="443"/>
      <c r="J39" s="443"/>
      <c r="K39" s="443"/>
      <c r="L39" s="443"/>
      <c r="M39" s="443"/>
      <c r="N39" s="443"/>
      <c r="O39" s="443"/>
      <c r="P39" s="443"/>
      <c r="Q39" s="443"/>
      <c r="R39" s="443"/>
    </row>
    <row r="40" spans="1:18" ht="15" customHeight="1">
      <c r="A40" s="360" t="str">
        <f>informatieblad!D13</f>
        <v>Verloopstukken  (RctR)</v>
      </c>
      <c r="B40" s="364"/>
      <c r="C40" s="296"/>
      <c r="D40" s="296"/>
      <c r="E40" s="365"/>
      <c r="H40" s="443"/>
      <c r="I40" s="443"/>
      <c r="J40" s="443"/>
      <c r="K40" s="443"/>
      <c r="L40" s="443"/>
      <c r="M40" s="443"/>
      <c r="N40" s="443"/>
      <c r="O40" s="443"/>
      <c r="P40" s="443"/>
      <c r="Q40" s="443"/>
      <c r="R40" s="443"/>
    </row>
    <row r="41" spans="1:18" ht="15" customHeight="1">
      <c r="A41" s="361" t="str">
        <f>Verloopstukken!K20</f>
        <v>None</v>
      </c>
      <c r="B41" s="348" t="str">
        <f>Verloopstukken!F21</f>
        <v>-RctR-----0-0-0-0---Options None</v>
      </c>
      <c r="C41" s="297">
        <f>Verloopstukken!C22</f>
        <v>0</v>
      </c>
      <c r="D41" s="297">
        <f>Verloopstukken!Q22*Verloopstukken!C22</f>
        <v>0</v>
      </c>
      <c r="E41" s="350">
        <f>Verloopstukken!U22</f>
        <v>0</v>
      </c>
      <c r="H41" s="443"/>
      <c r="I41" s="443"/>
      <c r="J41" s="443"/>
      <c r="K41" s="443"/>
      <c r="L41" s="443"/>
      <c r="M41" s="443"/>
      <c r="N41" s="443"/>
      <c r="O41" s="443"/>
      <c r="P41" s="443"/>
      <c r="Q41" s="443"/>
      <c r="R41" s="443"/>
    </row>
    <row r="42" spans="1:18" ht="15" customHeight="1">
      <c r="A42" s="361" t="str">
        <f>Verloopstukken!K24</f>
        <v>None</v>
      </c>
      <c r="B42" s="348" t="str">
        <f>Verloopstukken!F25</f>
        <v>-RctR-----0-0-0-0---Options None</v>
      </c>
      <c r="C42" s="297">
        <f>Verloopstukken!C26</f>
        <v>0</v>
      </c>
      <c r="D42" s="297">
        <f>Verloopstukken!Q26*Verloopstukken!C26</f>
        <v>0</v>
      </c>
      <c r="E42" s="350">
        <f>Verloopstukken!U26</f>
        <v>0</v>
      </c>
      <c r="H42" s="443"/>
      <c r="I42" s="443"/>
      <c r="J42" s="443"/>
      <c r="K42" s="443"/>
      <c r="L42" s="443"/>
      <c r="M42" s="443"/>
      <c r="N42" s="443"/>
      <c r="O42" s="443"/>
      <c r="P42" s="443"/>
      <c r="Q42" s="443"/>
      <c r="R42" s="443"/>
    </row>
    <row r="43" spans="1:18" ht="15" customHeight="1">
      <c r="A43" s="361" t="str">
        <f>Verloopstukken!K28</f>
        <v>None</v>
      </c>
      <c r="B43" s="348" t="str">
        <f>Verloopstukken!F29</f>
        <v>-RctR-----0-0-0-0---Options None</v>
      </c>
      <c r="C43" s="297">
        <f>Verloopstukken!C30</f>
        <v>0</v>
      </c>
      <c r="D43" s="297">
        <f>Verloopstukken!Q30*Verloopstukken!C30</f>
        <v>0</v>
      </c>
      <c r="E43" s="350">
        <f>Verloopstukken!U30</f>
        <v>0</v>
      </c>
      <c r="H43" s="443"/>
      <c r="I43" s="443"/>
      <c r="J43" s="443"/>
      <c r="K43" s="443"/>
      <c r="L43" s="443"/>
      <c r="M43" s="443"/>
      <c r="N43" s="443"/>
      <c r="O43" s="443"/>
      <c r="P43" s="443"/>
      <c r="Q43" s="443"/>
      <c r="R43" s="443"/>
    </row>
    <row r="44" spans="1:18" ht="15" customHeight="1">
      <c r="A44" s="361" t="str">
        <f>Verloopstukken!K32</f>
        <v>None</v>
      </c>
      <c r="B44" s="348" t="str">
        <f>Verloopstukken!F33</f>
        <v>-RctR-----0-0-0-0---Options None</v>
      </c>
      <c r="C44" s="297">
        <f>Verloopstukken!C34</f>
        <v>0</v>
      </c>
      <c r="D44" s="297">
        <f>Verloopstukken!Q34*Verloopstukken!C34</f>
        <v>0</v>
      </c>
      <c r="E44" s="350">
        <f>Verloopstukken!U34</f>
        <v>0</v>
      </c>
      <c r="H44" s="443"/>
      <c r="I44" s="443"/>
      <c r="J44" s="443"/>
      <c r="K44" s="443"/>
      <c r="L44" s="443"/>
      <c r="M44" s="443"/>
      <c r="N44" s="443"/>
      <c r="O44" s="443"/>
      <c r="P44" s="443"/>
      <c r="Q44" s="443"/>
      <c r="R44" s="443"/>
    </row>
    <row r="45" spans="1:18" ht="15" customHeight="1">
      <c r="A45" s="361" t="str">
        <f>Verloopstukken!K36</f>
        <v>None</v>
      </c>
      <c r="B45" s="348" t="str">
        <f>Verloopstukken!F37</f>
        <v>-RctR-----0-0-0-0---Options None</v>
      </c>
      <c r="C45" s="297">
        <f>Verloopstukken!C38</f>
        <v>0</v>
      </c>
      <c r="D45" s="297">
        <f>Verloopstukken!Q38*Verloopstukken!C38</f>
        <v>0</v>
      </c>
      <c r="E45" s="350">
        <f>Verloopstukken!U38</f>
        <v>0</v>
      </c>
      <c r="H45" s="443"/>
      <c r="I45" s="443"/>
      <c r="J45" s="443"/>
      <c r="K45" s="443"/>
      <c r="L45" s="443"/>
      <c r="M45" s="443"/>
      <c r="N45" s="443"/>
      <c r="O45" s="443"/>
      <c r="P45" s="443"/>
      <c r="Q45" s="443"/>
      <c r="R45" s="443"/>
    </row>
    <row r="46" spans="1:18" ht="15" customHeight="1">
      <c r="A46" s="361" t="str">
        <f>Verloopstukken!K40</f>
        <v>None</v>
      </c>
      <c r="B46" s="348" t="str">
        <f>Verloopstukken!F41</f>
        <v>-RctR-----0-0-0-0---Options None</v>
      </c>
      <c r="C46" s="297">
        <f>Verloopstukken!C42</f>
        <v>0</v>
      </c>
      <c r="D46" s="297">
        <f>Verloopstukken!Q42*Verloopstukken!C42</f>
        <v>0</v>
      </c>
      <c r="E46" s="350">
        <f>Verloopstukken!U42</f>
        <v>0</v>
      </c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443"/>
    </row>
    <row r="47" spans="1:18" ht="15" customHeight="1">
      <c r="A47" s="361" t="str">
        <f>Verloopstukken!K44</f>
        <v>None</v>
      </c>
      <c r="B47" s="348" t="str">
        <f>Verloopstukken!F45</f>
        <v>-RctR-----0-0-0-0---Options None</v>
      </c>
      <c r="C47" s="297">
        <f>Verloopstukken!C46</f>
        <v>0</v>
      </c>
      <c r="D47" s="297">
        <f>Verloopstukken!Q46*Verloopstukken!C46</f>
        <v>0</v>
      </c>
      <c r="E47" s="350">
        <f>Verloopstukken!U46</f>
        <v>0</v>
      </c>
      <c r="H47" s="443"/>
      <c r="I47" s="443"/>
      <c r="J47" s="443"/>
      <c r="K47" s="443"/>
      <c r="L47" s="443"/>
      <c r="M47" s="443"/>
      <c r="N47" s="443"/>
      <c r="O47" s="443"/>
      <c r="P47" s="443"/>
      <c r="Q47" s="443"/>
      <c r="R47" s="443"/>
    </row>
    <row r="48" spans="1:18" ht="15" customHeight="1">
      <c r="A48" s="361" t="str">
        <f>Verloopstukken!K48</f>
        <v>None</v>
      </c>
      <c r="B48" s="348" t="str">
        <f>Verloopstukken!F49</f>
        <v>-RctR-----0-0-0-0---Options None</v>
      </c>
      <c r="C48" s="297">
        <f>Verloopstukken!C50</f>
        <v>0</v>
      </c>
      <c r="D48" s="297">
        <f>Verloopstukken!Q50*Verloopstukken!C50</f>
        <v>0</v>
      </c>
      <c r="E48" s="350">
        <f>Verloopstukken!U50</f>
        <v>0</v>
      </c>
      <c r="H48" s="443"/>
      <c r="I48" s="443"/>
      <c r="J48" s="443"/>
      <c r="K48" s="443"/>
      <c r="L48" s="443"/>
      <c r="M48" s="443"/>
      <c r="N48" s="443"/>
      <c r="O48" s="443"/>
      <c r="P48" s="443"/>
      <c r="Q48" s="443"/>
      <c r="R48" s="443"/>
    </row>
    <row r="49" spans="1:18" ht="15" customHeight="1">
      <c r="A49" s="361" t="str">
        <f>Verloopstukken!K52</f>
        <v>None</v>
      </c>
      <c r="B49" s="348" t="str">
        <f>Verloopstukken!F53</f>
        <v>-RctR-----0-0-0-0---Options None</v>
      </c>
      <c r="C49" s="297">
        <f>Verloopstukken!C54</f>
        <v>0</v>
      </c>
      <c r="D49" s="297">
        <f>Verloopstukken!Q54*Verloopstukken!C54</f>
        <v>0</v>
      </c>
      <c r="E49" s="350">
        <f>Verloopstukken!U54</f>
        <v>0</v>
      </c>
      <c r="H49" s="443"/>
      <c r="I49" s="443"/>
      <c r="J49" s="443"/>
      <c r="K49" s="443"/>
      <c r="L49" s="443"/>
      <c r="M49" s="443"/>
      <c r="N49" s="443"/>
      <c r="O49" s="443"/>
      <c r="P49" s="443"/>
      <c r="Q49" s="443"/>
      <c r="R49" s="443"/>
    </row>
    <row r="50" spans="1:18" ht="15" customHeight="1">
      <c r="A50" s="361" t="str">
        <f>Verloopstukken!K56</f>
        <v>None</v>
      </c>
      <c r="B50" s="348" t="str">
        <f>Verloopstukken!F57</f>
        <v>-RctR-----0-0-0-0---Options None</v>
      </c>
      <c r="C50" s="297">
        <f>Verloopstukken!C58</f>
        <v>0</v>
      </c>
      <c r="D50" s="297">
        <f>Verloopstukken!Q58*Verloopstukken!C58</f>
        <v>0</v>
      </c>
      <c r="E50" s="350">
        <f>Verloopstukken!U58</f>
        <v>0</v>
      </c>
      <c r="H50" s="443"/>
      <c r="I50" s="443"/>
      <c r="J50" s="443"/>
      <c r="K50" s="443"/>
      <c r="L50" s="443"/>
      <c r="M50" s="443"/>
      <c r="N50" s="443"/>
      <c r="O50" s="443"/>
      <c r="P50" s="443"/>
      <c r="Q50" s="443"/>
      <c r="R50" s="443"/>
    </row>
    <row r="51" spans="1:18" ht="15" customHeight="1">
      <c r="A51" s="361" t="str">
        <f>Verloopstukken!K60</f>
        <v>None</v>
      </c>
      <c r="B51" s="348" t="str">
        <f>Verloopstukken!F61</f>
        <v>-RctR-----0-0-0-0---Options None</v>
      </c>
      <c r="C51" s="297">
        <f>Verloopstukken!C62</f>
        <v>0</v>
      </c>
      <c r="D51" s="297">
        <f>Verloopstukken!Q62*Verloopstukken!C62</f>
        <v>0</v>
      </c>
      <c r="E51" s="350">
        <f>Verloopstukken!U62</f>
        <v>0</v>
      </c>
      <c r="H51" s="443"/>
      <c r="I51" s="443"/>
      <c r="J51" s="443"/>
      <c r="K51" s="443"/>
      <c r="L51" s="443"/>
      <c r="M51" s="443"/>
      <c r="N51" s="443"/>
      <c r="O51" s="443"/>
      <c r="P51" s="443"/>
      <c r="Q51" s="443"/>
      <c r="R51" s="443"/>
    </row>
    <row r="52" spans="1:18" ht="15" customHeight="1">
      <c r="A52" s="361" t="str">
        <f>Verloopstukken!K64</f>
        <v>None</v>
      </c>
      <c r="B52" s="348" t="str">
        <f>Verloopstukken!F65</f>
        <v>-RctR-----0-0-0-0---Options None</v>
      </c>
      <c r="C52" s="297">
        <f>Verloopstukken!C66</f>
        <v>0</v>
      </c>
      <c r="D52" s="297">
        <f>Verloopstukken!Q66*Verloopstukken!C66</f>
        <v>0</v>
      </c>
      <c r="E52" s="350">
        <f>Verloopstukken!U66</f>
        <v>0</v>
      </c>
      <c r="H52" s="443"/>
      <c r="I52" s="443"/>
      <c r="J52" s="443"/>
      <c r="K52" s="443"/>
      <c r="L52" s="443"/>
      <c r="M52" s="443"/>
      <c r="N52" s="443"/>
      <c r="O52" s="443"/>
      <c r="P52" s="443"/>
      <c r="Q52" s="443"/>
      <c r="R52" s="443"/>
    </row>
    <row r="53" spans="1:18" ht="15" customHeight="1">
      <c r="A53" s="361" t="str">
        <f>Verloopstukken!K68</f>
        <v>None</v>
      </c>
      <c r="B53" s="348" t="str">
        <f>Verloopstukken!F69</f>
        <v>-RctR-----0-0-0-0---Options None</v>
      </c>
      <c r="C53" s="297">
        <f>Verloopstukken!C70</f>
        <v>0</v>
      </c>
      <c r="D53" s="297">
        <f>Verloopstukken!Q70*Verloopstukken!C70</f>
        <v>0</v>
      </c>
      <c r="E53" s="350">
        <f>Verloopstukken!U70</f>
        <v>0</v>
      </c>
      <c r="H53" s="443"/>
      <c r="I53" s="443"/>
      <c r="J53" s="443"/>
      <c r="K53" s="443"/>
      <c r="L53" s="443"/>
      <c r="M53" s="443"/>
      <c r="N53" s="443"/>
      <c r="O53" s="443"/>
      <c r="P53" s="443"/>
      <c r="Q53" s="443"/>
      <c r="R53" s="443"/>
    </row>
    <row r="54" spans="1:18" ht="15" customHeight="1">
      <c r="A54" s="361" t="str">
        <f>Verloopstukken!K72</f>
        <v>None</v>
      </c>
      <c r="B54" s="348" t="str">
        <f>Verloopstukken!F73</f>
        <v>-RctR-----0-0-0-0---Options None</v>
      </c>
      <c r="C54" s="297">
        <f>Verloopstukken!C74</f>
        <v>0</v>
      </c>
      <c r="D54" s="297">
        <f>Verloopstukken!Q74*Verloopstukken!C74</f>
        <v>0</v>
      </c>
      <c r="E54" s="350">
        <f>Verloopstukken!U74</f>
        <v>0</v>
      </c>
      <c r="H54" s="443"/>
      <c r="I54" s="443"/>
      <c r="J54" s="443"/>
      <c r="K54" s="443"/>
      <c r="L54" s="443"/>
      <c r="M54" s="443"/>
      <c r="N54" s="443"/>
      <c r="O54" s="443"/>
      <c r="P54" s="443"/>
      <c r="Q54" s="443"/>
      <c r="R54" s="443"/>
    </row>
    <row r="55" spans="1:18" ht="15" customHeight="1">
      <c r="A55" s="361" t="str">
        <f>Verloopstukken!K76</f>
        <v>None</v>
      </c>
      <c r="B55" s="348" t="str">
        <f>Verloopstukken!F77</f>
        <v>-RctR-----0-0-0-0---Options None</v>
      </c>
      <c r="C55" s="297">
        <f>Verloopstukken!C78</f>
        <v>0</v>
      </c>
      <c r="D55" s="297">
        <f>Verloopstukken!Q78*Verloopstukken!C78</f>
        <v>0</v>
      </c>
      <c r="E55" s="350">
        <f>Verloopstukken!U78</f>
        <v>0</v>
      </c>
      <c r="H55" s="443"/>
      <c r="I55" s="443"/>
      <c r="J55" s="443"/>
      <c r="K55" s="443"/>
      <c r="L55" s="443"/>
      <c r="M55" s="443"/>
      <c r="N55" s="443"/>
      <c r="O55" s="443"/>
      <c r="P55" s="443"/>
      <c r="Q55" s="443"/>
      <c r="R55" s="443"/>
    </row>
    <row r="56" spans="1:18" ht="15" customHeight="1">
      <c r="A56" s="361" t="str">
        <f>Verloopstukken!K80</f>
        <v>None</v>
      </c>
      <c r="B56" s="348" t="str">
        <f>Verloopstukken!F81</f>
        <v>-RctR-----0-0-0-0---Options None</v>
      </c>
      <c r="C56" s="297">
        <f>Verloopstukken!C82</f>
        <v>0</v>
      </c>
      <c r="D56" s="297">
        <f>Verloopstukken!Q82*Verloopstukken!C82</f>
        <v>0</v>
      </c>
      <c r="E56" s="350">
        <f>Verloopstukken!U82</f>
        <v>0</v>
      </c>
      <c r="H56" s="443"/>
      <c r="I56" s="443"/>
      <c r="J56" s="443"/>
      <c r="K56" s="443"/>
      <c r="L56" s="443"/>
      <c r="M56" s="443"/>
      <c r="N56" s="443"/>
      <c r="O56" s="443"/>
      <c r="P56" s="443"/>
      <c r="Q56" s="443"/>
      <c r="R56" s="443"/>
    </row>
    <row r="57" spans="1:18" ht="15" customHeight="1">
      <c r="A57" s="361" t="str">
        <f>Verloopstukken!K84</f>
        <v>None</v>
      </c>
      <c r="B57" s="348" t="str">
        <f>Verloopstukken!F85</f>
        <v>-RctR-----0-0-0-0---Options None</v>
      </c>
      <c r="C57" s="297">
        <f>Verloopstukken!C86</f>
        <v>0</v>
      </c>
      <c r="D57" s="297">
        <f>Verloopstukken!Q86*Verloopstukken!C86</f>
        <v>0</v>
      </c>
      <c r="E57" s="350">
        <f>Verloopstukken!U86</f>
        <v>0</v>
      </c>
      <c r="H57" s="443"/>
      <c r="I57" s="443"/>
      <c r="J57" s="443"/>
      <c r="K57" s="443"/>
      <c r="L57" s="443"/>
      <c r="M57" s="443"/>
      <c r="N57" s="443"/>
      <c r="O57" s="443"/>
      <c r="P57" s="443"/>
      <c r="Q57" s="443"/>
      <c r="R57" s="443"/>
    </row>
    <row r="58" spans="1:18" ht="15" customHeight="1">
      <c r="A58" s="361" t="str">
        <f>Verloopstukken!K88</f>
        <v>None</v>
      </c>
      <c r="B58" s="348" t="str">
        <f>Verloopstukken!F89</f>
        <v>-RctR-----0-0-0-0---Options None</v>
      </c>
      <c r="C58" s="297">
        <f>Verloopstukken!C90</f>
        <v>0</v>
      </c>
      <c r="D58" s="297">
        <f>Verloopstukken!Q90*Verloopstukken!C90</f>
        <v>0</v>
      </c>
      <c r="E58" s="350">
        <f>Verloopstukken!U90</f>
        <v>0</v>
      </c>
      <c r="H58" s="443"/>
      <c r="I58" s="443"/>
      <c r="J58" s="443"/>
      <c r="K58" s="443"/>
      <c r="L58" s="443"/>
      <c r="M58" s="443"/>
      <c r="N58" s="443"/>
      <c r="O58" s="443"/>
      <c r="P58" s="443"/>
      <c r="Q58" s="443"/>
      <c r="R58" s="443"/>
    </row>
    <row r="59" spans="1:18" ht="15" customHeight="1">
      <c r="A59" s="361" t="str">
        <f>Verloopstukken!K92</f>
        <v>None</v>
      </c>
      <c r="B59" s="348" t="str">
        <f>Verloopstukken!F93</f>
        <v>-RctR-----0-0-0-0---Options None</v>
      </c>
      <c r="C59" s="297">
        <f>Verloopstukken!C94</f>
        <v>0</v>
      </c>
      <c r="D59" s="297">
        <f>Verloopstukken!Q94*Verloopstukken!C94</f>
        <v>0</v>
      </c>
      <c r="E59" s="350">
        <f>Verloopstukken!U94</f>
        <v>0</v>
      </c>
      <c r="H59" s="443"/>
      <c r="I59" s="443"/>
      <c r="J59" s="443"/>
      <c r="K59" s="443"/>
      <c r="L59" s="443"/>
      <c r="M59" s="443"/>
      <c r="N59" s="443"/>
      <c r="O59" s="443"/>
      <c r="P59" s="443"/>
      <c r="Q59" s="443"/>
      <c r="R59" s="443"/>
    </row>
    <row r="60" spans="1:18" ht="15" customHeight="1">
      <c r="A60" s="361" t="str">
        <f>Verloopstukken!K96</f>
        <v>None</v>
      </c>
      <c r="B60" s="348" t="str">
        <f>Verloopstukken!F97</f>
        <v>-RctR-----0-0-0-0---Options None</v>
      </c>
      <c r="C60" s="297">
        <f>Verloopstukken!C98</f>
        <v>0</v>
      </c>
      <c r="D60" s="297">
        <f>Verloopstukken!Q98*Verloopstukken!C98</f>
        <v>0</v>
      </c>
      <c r="E60" s="350">
        <f>Verloopstukken!U98</f>
        <v>0</v>
      </c>
      <c r="H60" s="443"/>
      <c r="I60" s="443"/>
      <c r="J60" s="443"/>
      <c r="K60" s="443"/>
      <c r="L60" s="443"/>
      <c r="M60" s="443"/>
      <c r="N60" s="443"/>
      <c r="O60" s="443"/>
      <c r="P60" s="443"/>
      <c r="Q60" s="443"/>
      <c r="R60" s="443"/>
    </row>
    <row r="61" spans="1:18" ht="15" customHeight="1">
      <c r="A61" s="361" t="str">
        <f>Verloopstukken!K100</f>
        <v>None</v>
      </c>
      <c r="B61" s="348" t="str">
        <f>Verloopstukken!F101</f>
        <v>-RctR-----0-0-0-0---Options None</v>
      </c>
      <c r="C61" s="297">
        <f>Verloopstukken!C102</f>
        <v>0</v>
      </c>
      <c r="D61" s="297">
        <f>Verloopstukken!Q102*Verloopstukken!C102</f>
        <v>0</v>
      </c>
      <c r="E61" s="350">
        <f>Verloopstukken!U102</f>
        <v>0</v>
      </c>
      <c r="H61" s="443"/>
      <c r="I61" s="443"/>
      <c r="J61" s="443"/>
      <c r="K61" s="443"/>
      <c r="L61" s="443"/>
      <c r="M61" s="443"/>
      <c r="N61" s="443"/>
      <c r="O61" s="443"/>
      <c r="P61" s="443"/>
      <c r="Q61" s="443"/>
      <c r="R61" s="443"/>
    </row>
    <row r="62" spans="1:18" ht="15" customHeight="1">
      <c r="A62" s="361" t="str">
        <f>Verloopstukken!K104</f>
        <v>None</v>
      </c>
      <c r="B62" s="348" t="str">
        <f>Verloopstukken!F105</f>
        <v>-RctR-----0-0-0-0---Options None</v>
      </c>
      <c r="C62" s="297">
        <f>Verloopstukken!C106</f>
        <v>0</v>
      </c>
      <c r="D62" s="297">
        <f>Verloopstukken!Q106*Verloopstukken!C106</f>
        <v>0</v>
      </c>
      <c r="E62" s="350">
        <f>Verloopstukken!U106</f>
        <v>0</v>
      </c>
      <c r="H62" s="443"/>
      <c r="I62" s="443"/>
      <c r="J62" s="443"/>
      <c r="K62" s="443"/>
      <c r="L62" s="443"/>
      <c r="M62" s="443"/>
      <c r="N62" s="443"/>
      <c r="O62" s="443"/>
      <c r="P62" s="443"/>
      <c r="Q62" s="443"/>
      <c r="R62" s="443"/>
    </row>
    <row r="63" spans="1:18" ht="15" customHeight="1">
      <c r="A63" s="361" t="str">
        <f>Verloopstukken!K108</f>
        <v>None</v>
      </c>
      <c r="B63" s="348" t="str">
        <f>Verloopstukken!F109</f>
        <v>-RctR-----0-0-0-0---Options None</v>
      </c>
      <c r="C63" s="297">
        <f>Verloopstukken!C110</f>
        <v>0</v>
      </c>
      <c r="D63" s="297">
        <f>Verloopstukken!Q110*Verloopstukken!C110</f>
        <v>0</v>
      </c>
      <c r="E63" s="350">
        <f>Verloopstukken!U110</f>
        <v>0</v>
      </c>
      <c r="H63" s="443"/>
      <c r="I63" s="443"/>
      <c r="J63" s="443"/>
      <c r="K63" s="443"/>
      <c r="L63" s="443"/>
      <c r="M63" s="443"/>
      <c r="N63" s="443"/>
      <c r="O63" s="443"/>
      <c r="P63" s="443"/>
      <c r="Q63" s="443"/>
      <c r="R63" s="443"/>
    </row>
    <row r="64" spans="1:18" ht="15" customHeight="1">
      <c r="A64" s="361" t="str">
        <f>Verloopstukken!K112</f>
        <v>None</v>
      </c>
      <c r="B64" s="348" t="str">
        <f>Verloopstukken!F113</f>
        <v>-RctR-----0-0-0-0---Options None</v>
      </c>
      <c r="C64" s="297">
        <f>Verloopstukken!C114</f>
        <v>0</v>
      </c>
      <c r="D64" s="297">
        <f>Verloopstukken!Q114*Verloopstukken!C114</f>
        <v>0</v>
      </c>
      <c r="E64" s="350">
        <f>Verloopstukken!U114</f>
        <v>0</v>
      </c>
      <c r="H64" s="443"/>
      <c r="I64" s="443"/>
      <c r="J64" s="443"/>
      <c r="K64" s="443"/>
      <c r="L64" s="443"/>
      <c r="M64" s="443"/>
      <c r="N64" s="443"/>
      <c r="O64" s="443"/>
      <c r="P64" s="443"/>
      <c r="Q64" s="443"/>
      <c r="R64" s="443"/>
    </row>
    <row r="65" spans="1:18" ht="15" customHeight="1">
      <c r="A65" s="361" t="str">
        <f>Verloopstukken!K116</f>
        <v>None</v>
      </c>
      <c r="B65" s="348" t="str">
        <f>Verloopstukken!F117</f>
        <v>-RctR-----0-0-0-0---Options None</v>
      </c>
      <c r="C65" s="297">
        <f>Verloopstukken!C118</f>
        <v>0</v>
      </c>
      <c r="D65" s="297">
        <f>Verloopstukken!Q118*Verloopstukken!C118</f>
        <v>0</v>
      </c>
      <c r="E65" s="350">
        <f>Verloopstukken!U118</f>
        <v>0</v>
      </c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443"/>
    </row>
    <row r="66" spans="1:18" ht="15" customHeight="1">
      <c r="A66" s="361" t="str">
        <f>Verloopstukken!K120</f>
        <v>None</v>
      </c>
      <c r="B66" s="348" t="str">
        <f>Verloopstukken!F121</f>
        <v>-RctR-----0-0-0-0---Options None</v>
      </c>
      <c r="C66" s="297">
        <f>Verloopstukken!C122</f>
        <v>0</v>
      </c>
      <c r="D66" s="297">
        <f>Verloopstukken!Q122*Verloopstukken!C122</f>
        <v>0</v>
      </c>
      <c r="E66" s="350">
        <f>Verloopstukken!U122</f>
        <v>0</v>
      </c>
      <c r="H66" s="443"/>
      <c r="I66" s="443"/>
      <c r="J66" s="443"/>
      <c r="K66" s="443"/>
      <c r="L66" s="443"/>
      <c r="M66" s="443"/>
      <c r="N66" s="443"/>
      <c r="O66" s="443"/>
      <c r="P66" s="443"/>
      <c r="Q66" s="443"/>
      <c r="R66" s="443"/>
    </row>
    <row r="67" spans="1:18" ht="15" customHeight="1">
      <c r="A67" s="361" t="str">
        <f>Verloopstukken!K124</f>
        <v>None</v>
      </c>
      <c r="B67" s="348" t="str">
        <f>Verloopstukken!F125</f>
        <v>-RctR-----0-0-0-0---Options None</v>
      </c>
      <c r="C67" s="297">
        <f>Verloopstukken!C126</f>
        <v>0</v>
      </c>
      <c r="D67" s="297">
        <f>Verloopstukken!Q126*Verloopstukken!C126</f>
        <v>0</v>
      </c>
      <c r="E67" s="350">
        <f>Verloopstukken!U126</f>
        <v>0</v>
      </c>
      <c r="H67" s="443"/>
      <c r="I67" s="443"/>
      <c r="J67" s="443"/>
      <c r="K67" s="443"/>
      <c r="L67" s="443"/>
      <c r="M67" s="443"/>
      <c r="N67" s="443"/>
      <c r="O67" s="443"/>
      <c r="P67" s="443"/>
      <c r="Q67" s="443"/>
      <c r="R67" s="443"/>
    </row>
    <row r="68" spans="1:18" ht="15" customHeight="1">
      <c r="A68" s="361" t="str">
        <f>Verloopstukken!K128</f>
        <v>None</v>
      </c>
      <c r="B68" s="348" t="str">
        <f>Verloopstukken!F129</f>
        <v>-RctR-----0-0-0-0---Options None</v>
      </c>
      <c r="C68" s="297">
        <f>Verloopstukken!C130</f>
        <v>0</v>
      </c>
      <c r="D68" s="297">
        <f>Verloopstukken!Q130*Verloopstukken!C130</f>
        <v>0</v>
      </c>
      <c r="E68" s="350">
        <f>Verloopstukken!U130</f>
        <v>0</v>
      </c>
      <c r="H68" s="443"/>
      <c r="I68" s="443"/>
      <c r="J68" s="443"/>
      <c r="K68" s="443"/>
      <c r="L68" s="443"/>
      <c r="M68" s="443"/>
      <c r="N68" s="443"/>
      <c r="O68" s="443"/>
      <c r="P68" s="443"/>
      <c r="Q68" s="443"/>
      <c r="R68" s="443"/>
    </row>
    <row r="69" spans="1:18" ht="15" customHeight="1">
      <c r="A69" s="361" t="str">
        <f>Verloopstukken!K132</f>
        <v>None</v>
      </c>
      <c r="B69" s="348" t="str">
        <f>Verloopstukken!F133</f>
        <v>-RctR-----0-0-0-0---Options None</v>
      </c>
      <c r="C69" s="297">
        <f>Verloopstukken!C134</f>
        <v>0</v>
      </c>
      <c r="D69" s="297">
        <f>Verloopstukken!Q134*Verloopstukken!C134</f>
        <v>0</v>
      </c>
      <c r="E69" s="350">
        <f>Verloopstukken!U134</f>
        <v>0</v>
      </c>
      <c r="H69" s="443"/>
      <c r="I69" s="443"/>
      <c r="J69" s="443"/>
      <c r="K69" s="443"/>
      <c r="L69" s="443"/>
      <c r="M69" s="443"/>
      <c r="N69" s="443"/>
      <c r="O69" s="443"/>
      <c r="P69" s="443"/>
      <c r="Q69" s="443"/>
      <c r="R69" s="443"/>
    </row>
    <row r="70" spans="1:18" ht="15" customHeight="1" thickBot="1">
      <c r="A70" s="362" t="str">
        <f>Verloopstukken!K136</f>
        <v>None</v>
      </c>
      <c r="B70" s="349" t="str">
        <f>Verloopstukken!F137</f>
        <v>-RctR-----0-0-0-0---Options None</v>
      </c>
      <c r="C70" s="298">
        <f>Verloopstukken!C138</f>
        <v>0</v>
      </c>
      <c r="D70" s="298">
        <f>Verloopstukken!Q138*Verloopstukken!C138</f>
        <v>0</v>
      </c>
      <c r="E70" s="351">
        <f>Verloopstukken!U138</f>
        <v>0</v>
      </c>
      <c r="H70" s="443"/>
      <c r="I70" s="443"/>
      <c r="J70" s="443"/>
      <c r="K70" s="443"/>
      <c r="L70" s="443"/>
      <c r="M70" s="443"/>
      <c r="N70" s="443"/>
      <c r="O70" s="443"/>
      <c r="P70" s="443"/>
      <c r="Q70" s="443"/>
      <c r="R70" s="443"/>
    </row>
    <row r="71" spans="1:18" ht="15" customHeight="1">
      <c r="A71" s="360" t="str">
        <f>informatieblad!D14</f>
        <v>Bochten  (RctB)</v>
      </c>
      <c r="B71" s="364"/>
      <c r="C71" s="296"/>
      <c r="D71" s="296"/>
      <c r="E71" s="365"/>
      <c r="H71" s="443"/>
      <c r="I71" s="443"/>
      <c r="J71" s="443"/>
      <c r="K71" s="443"/>
      <c r="L71" s="443"/>
      <c r="M71" s="443"/>
      <c r="N71" s="443"/>
      <c r="O71" s="443"/>
      <c r="P71" s="443"/>
      <c r="Q71" s="443"/>
      <c r="R71" s="443"/>
    </row>
    <row r="72" spans="1:18" ht="15" customHeight="1">
      <c r="A72" s="361" t="str">
        <f>Bochten!J21</f>
        <v>None</v>
      </c>
      <c r="B72" s="348" t="str">
        <f>Bochten!F22</f>
        <v>-RctB----0-0-0-0----Options None</v>
      </c>
      <c r="C72" s="297">
        <f>Bochten!C23</f>
        <v>0</v>
      </c>
      <c r="D72" s="297">
        <f>Bochten!N23*Bochten!C23</f>
        <v>0</v>
      </c>
      <c r="E72" s="350">
        <f>Bochten!R23</f>
        <v>0</v>
      </c>
      <c r="H72" s="443"/>
      <c r="I72" s="443"/>
      <c r="J72" s="443"/>
      <c r="K72" s="443"/>
      <c r="L72" s="443"/>
      <c r="M72" s="443"/>
      <c r="N72" s="443"/>
      <c r="O72" s="443"/>
      <c r="P72" s="443"/>
      <c r="Q72" s="443"/>
      <c r="R72" s="443"/>
    </row>
    <row r="73" spans="1:18" ht="15" customHeight="1">
      <c r="A73" s="361" t="str">
        <f>Bochten!J25</f>
        <v>None</v>
      </c>
      <c r="B73" s="348" t="str">
        <f>Bochten!F26</f>
        <v>-RctB----0-0-0-0----Options None</v>
      </c>
      <c r="C73" s="297">
        <f>Bochten!C27</f>
        <v>0</v>
      </c>
      <c r="D73" s="297">
        <f>Bochten!N27*Bochten!C27</f>
        <v>0</v>
      </c>
      <c r="E73" s="350">
        <f>Bochten!R27</f>
        <v>0</v>
      </c>
      <c r="H73" s="443"/>
      <c r="I73" s="443"/>
      <c r="J73" s="443"/>
      <c r="K73" s="443"/>
      <c r="L73" s="443"/>
      <c r="M73" s="443"/>
      <c r="N73" s="443"/>
      <c r="O73" s="443"/>
      <c r="P73" s="443"/>
      <c r="Q73" s="443"/>
      <c r="R73" s="443"/>
    </row>
    <row r="74" spans="1:18" ht="15" customHeight="1">
      <c r="A74" s="361" t="str">
        <f>Bochten!J29</f>
        <v>None</v>
      </c>
      <c r="B74" s="348" t="str">
        <f>Bochten!F30</f>
        <v>-RctB----0-0-0-0----Options None</v>
      </c>
      <c r="C74" s="297">
        <f>Bochten!C31</f>
        <v>0</v>
      </c>
      <c r="D74" s="297">
        <f>Bochten!N31*Bochten!C31</f>
        <v>0</v>
      </c>
      <c r="E74" s="350">
        <f>Bochten!R31</f>
        <v>0</v>
      </c>
      <c r="H74" s="443"/>
      <c r="I74" s="443"/>
      <c r="J74" s="443"/>
      <c r="K74" s="443"/>
      <c r="L74" s="443"/>
      <c r="M74" s="443"/>
      <c r="N74" s="443"/>
      <c r="O74" s="443"/>
      <c r="P74" s="443"/>
      <c r="Q74" s="443"/>
      <c r="R74" s="443"/>
    </row>
    <row r="75" spans="1:18" ht="15" customHeight="1">
      <c r="A75" s="361" t="str">
        <f>Bochten!J33</f>
        <v>None</v>
      </c>
      <c r="B75" s="348" t="str">
        <f>Bochten!F34</f>
        <v>-RctB----0-0-0-0----Options None</v>
      </c>
      <c r="C75" s="297">
        <f>Bochten!C35</f>
        <v>0</v>
      </c>
      <c r="D75" s="297">
        <f>Bochten!N35*Bochten!C35</f>
        <v>0</v>
      </c>
      <c r="E75" s="350">
        <f>Bochten!R35</f>
        <v>0</v>
      </c>
      <c r="H75" s="443"/>
      <c r="I75" s="443"/>
      <c r="J75" s="443"/>
      <c r="K75" s="443"/>
      <c r="L75" s="443"/>
      <c r="M75" s="443"/>
      <c r="N75" s="443"/>
      <c r="O75" s="443"/>
      <c r="P75" s="443"/>
      <c r="Q75" s="443"/>
      <c r="R75" s="443"/>
    </row>
    <row r="76" spans="1:18" ht="15" customHeight="1">
      <c r="A76" s="361" t="str">
        <f>Bochten!J37</f>
        <v>None</v>
      </c>
      <c r="B76" s="348" t="str">
        <f>Bochten!F38</f>
        <v>-RctB----0-0-0-0----Options None</v>
      </c>
      <c r="C76" s="297">
        <f>Bochten!C39</f>
        <v>0</v>
      </c>
      <c r="D76" s="297">
        <f>Bochten!N39*Bochten!C39</f>
        <v>0</v>
      </c>
      <c r="E76" s="350">
        <f>Bochten!R39</f>
        <v>0</v>
      </c>
      <c r="H76" s="443"/>
      <c r="I76" s="443"/>
      <c r="J76" s="443"/>
      <c r="K76" s="443"/>
      <c r="L76" s="443"/>
      <c r="M76" s="443"/>
      <c r="N76" s="443"/>
      <c r="O76" s="443"/>
      <c r="P76" s="443"/>
      <c r="Q76" s="443"/>
      <c r="R76" s="443"/>
    </row>
    <row r="77" spans="1:18" ht="15" customHeight="1">
      <c r="A77" s="361" t="str">
        <f>Bochten!J41</f>
        <v>None</v>
      </c>
      <c r="B77" s="348" t="str">
        <f>Bochten!F42</f>
        <v>-RctB----0-0-0-0----Options None</v>
      </c>
      <c r="C77" s="297">
        <f>Bochten!C43</f>
        <v>0</v>
      </c>
      <c r="D77" s="297">
        <f>Bochten!N43*Bochten!C43</f>
        <v>0</v>
      </c>
      <c r="E77" s="350">
        <f>Bochten!R43</f>
        <v>0</v>
      </c>
      <c r="H77" s="443"/>
      <c r="I77" s="443"/>
      <c r="J77" s="443"/>
      <c r="K77" s="443"/>
      <c r="L77" s="443"/>
      <c r="M77" s="443"/>
      <c r="N77" s="443"/>
      <c r="O77" s="443"/>
      <c r="P77" s="443"/>
      <c r="Q77" s="443"/>
      <c r="R77" s="443"/>
    </row>
    <row r="78" spans="1:18" ht="15" customHeight="1">
      <c r="A78" s="361" t="str">
        <f>Bochten!J45</f>
        <v>None</v>
      </c>
      <c r="B78" s="348" t="str">
        <f>Bochten!F46</f>
        <v>-RctB----0-0-0-0----Options None</v>
      </c>
      <c r="C78" s="297">
        <f>Bochten!C47</f>
        <v>0</v>
      </c>
      <c r="D78" s="297">
        <f>Bochten!N47*Bochten!C47</f>
        <v>0</v>
      </c>
      <c r="E78" s="350">
        <f>Bochten!R47</f>
        <v>0</v>
      </c>
      <c r="H78" s="443"/>
      <c r="I78" s="443"/>
      <c r="J78" s="443"/>
      <c r="K78" s="443"/>
      <c r="L78" s="443"/>
      <c r="M78" s="443"/>
      <c r="N78" s="443"/>
      <c r="O78" s="443"/>
      <c r="P78" s="443"/>
      <c r="Q78" s="443"/>
      <c r="R78" s="443"/>
    </row>
    <row r="79" spans="1:18" ht="15" customHeight="1">
      <c r="A79" s="361" t="str">
        <f>Bochten!J49</f>
        <v>None</v>
      </c>
      <c r="B79" s="348" t="str">
        <f>Bochten!F50</f>
        <v>-RctB----0-0-0-0----Options None</v>
      </c>
      <c r="C79" s="297">
        <f>Bochten!C51</f>
        <v>0</v>
      </c>
      <c r="D79" s="297">
        <f>Bochten!N51*Bochten!C51</f>
        <v>0</v>
      </c>
      <c r="E79" s="350">
        <f>Bochten!R51</f>
        <v>0</v>
      </c>
      <c r="H79" s="443"/>
      <c r="I79" s="443"/>
      <c r="J79" s="443"/>
      <c r="K79" s="443"/>
      <c r="L79" s="443"/>
      <c r="M79" s="443"/>
      <c r="N79" s="443"/>
      <c r="O79" s="443"/>
      <c r="P79" s="443"/>
      <c r="Q79" s="443"/>
      <c r="R79" s="443"/>
    </row>
    <row r="80" spans="1:18" ht="15" customHeight="1">
      <c r="A80" s="361" t="str">
        <f>Bochten!J53</f>
        <v>None</v>
      </c>
      <c r="B80" s="348" t="str">
        <f>Bochten!F54</f>
        <v>-RctB----0-0-0-0----Options None</v>
      </c>
      <c r="C80" s="297">
        <f>Bochten!C55</f>
        <v>0</v>
      </c>
      <c r="D80" s="297">
        <f>Bochten!N55*Bochten!C55</f>
        <v>0</v>
      </c>
      <c r="E80" s="350">
        <f>Bochten!R55</f>
        <v>0</v>
      </c>
      <c r="H80" s="443"/>
      <c r="I80" s="443"/>
      <c r="J80" s="443"/>
      <c r="K80" s="443"/>
      <c r="L80" s="443"/>
      <c r="M80" s="443"/>
      <c r="N80" s="443"/>
      <c r="O80" s="443"/>
      <c r="P80" s="443"/>
      <c r="Q80" s="443"/>
      <c r="R80" s="443"/>
    </row>
    <row r="81" spans="1:18" ht="15" customHeight="1">
      <c r="A81" s="361" t="str">
        <f>Bochten!J57</f>
        <v>None</v>
      </c>
      <c r="B81" s="348" t="str">
        <f>Bochten!F58</f>
        <v>-RctB----0-0-0-0----Options None</v>
      </c>
      <c r="C81" s="297">
        <f>Bochten!C59</f>
        <v>0</v>
      </c>
      <c r="D81" s="297">
        <f>Bochten!N59*Bochten!C59</f>
        <v>0</v>
      </c>
      <c r="E81" s="350">
        <f>Bochten!R59</f>
        <v>0</v>
      </c>
      <c r="H81" s="443"/>
      <c r="I81" s="443"/>
      <c r="J81" s="443"/>
      <c r="K81" s="443"/>
      <c r="L81" s="443"/>
      <c r="M81" s="443"/>
      <c r="N81" s="443"/>
      <c r="O81" s="443"/>
      <c r="P81" s="443"/>
      <c r="Q81" s="443"/>
      <c r="R81" s="443"/>
    </row>
    <row r="82" spans="1:18" ht="15" customHeight="1">
      <c r="A82" s="361" t="str">
        <f>Bochten!J61</f>
        <v>None</v>
      </c>
      <c r="B82" s="348" t="str">
        <f>Bochten!F62</f>
        <v>-RctB----0-0-0-0----Options None</v>
      </c>
      <c r="C82" s="297">
        <f>Bochten!C63</f>
        <v>0</v>
      </c>
      <c r="D82" s="297">
        <f>Bochten!N63*Bochten!C63</f>
        <v>0</v>
      </c>
      <c r="E82" s="350">
        <f>Bochten!R63</f>
        <v>0</v>
      </c>
      <c r="H82" s="443"/>
      <c r="I82" s="443"/>
      <c r="J82" s="443"/>
      <c r="K82" s="443"/>
      <c r="L82" s="443"/>
      <c r="M82" s="443"/>
      <c r="N82" s="443"/>
      <c r="O82" s="443"/>
      <c r="P82" s="443"/>
      <c r="Q82" s="443"/>
      <c r="R82" s="443"/>
    </row>
    <row r="83" spans="1:18" ht="15" customHeight="1">
      <c r="A83" s="361" t="str">
        <f>Bochten!J65</f>
        <v>None</v>
      </c>
      <c r="B83" s="348" t="str">
        <f>Bochten!F66</f>
        <v>-RctB----0-0-0-0----Options None</v>
      </c>
      <c r="C83" s="297">
        <f>Bochten!C67</f>
        <v>0</v>
      </c>
      <c r="D83" s="297">
        <f>Bochten!N67*Bochten!C67</f>
        <v>0</v>
      </c>
      <c r="E83" s="350">
        <f>Bochten!R67</f>
        <v>0</v>
      </c>
      <c r="H83" s="443"/>
      <c r="I83" s="443"/>
      <c r="J83" s="443"/>
      <c r="K83" s="443"/>
      <c r="L83" s="443"/>
      <c r="M83" s="443"/>
      <c r="N83" s="443"/>
      <c r="O83" s="443"/>
      <c r="P83" s="443"/>
      <c r="Q83" s="443"/>
      <c r="R83" s="443"/>
    </row>
    <row r="84" spans="1:18" ht="15" customHeight="1">
      <c r="A84" s="361" t="str">
        <f>Bochten!J69</f>
        <v>None</v>
      </c>
      <c r="B84" s="348" t="str">
        <f>Bochten!F70</f>
        <v>-RctB----0-0-0-0----Options None</v>
      </c>
      <c r="C84" s="297">
        <f>Bochten!C71</f>
        <v>0</v>
      </c>
      <c r="D84" s="297">
        <f>Bochten!N71*Bochten!C71</f>
        <v>0</v>
      </c>
      <c r="E84" s="350">
        <f>Bochten!R71</f>
        <v>0</v>
      </c>
      <c r="H84" s="443"/>
      <c r="I84" s="443"/>
      <c r="J84" s="443"/>
      <c r="K84" s="443"/>
      <c r="L84" s="443"/>
      <c r="M84" s="443"/>
      <c r="N84" s="443"/>
      <c r="O84" s="443"/>
      <c r="P84" s="443"/>
      <c r="Q84" s="443"/>
      <c r="R84" s="443"/>
    </row>
    <row r="85" spans="1:18" ht="15" customHeight="1">
      <c r="A85" s="361" t="str">
        <f>Bochten!J73</f>
        <v>None</v>
      </c>
      <c r="B85" s="348" t="str">
        <f>Bochten!F74</f>
        <v>-RctB----0-0-0-0----Options None</v>
      </c>
      <c r="C85" s="297">
        <f>Bochten!C75</f>
        <v>0</v>
      </c>
      <c r="D85" s="297">
        <f>Bochten!N75*Bochten!C75</f>
        <v>0</v>
      </c>
      <c r="E85" s="350">
        <f>Bochten!R75</f>
        <v>0</v>
      </c>
      <c r="H85" s="443"/>
      <c r="I85" s="443"/>
      <c r="J85" s="443"/>
      <c r="K85" s="443"/>
      <c r="L85" s="443"/>
      <c r="M85" s="443"/>
      <c r="N85" s="443"/>
      <c r="O85" s="443"/>
      <c r="P85" s="443"/>
      <c r="Q85" s="443"/>
      <c r="R85" s="443"/>
    </row>
    <row r="86" spans="1:18" ht="15" customHeight="1">
      <c r="A86" s="361" t="str">
        <f>Bochten!J77</f>
        <v>None</v>
      </c>
      <c r="B86" s="348" t="str">
        <f>Bochten!F78</f>
        <v>-RctB----0-0-0-0----Options None</v>
      </c>
      <c r="C86" s="297">
        <f>Bochten!C79</f>
        <v>0</v>
      </c>
      <c r="D86" s="297">
        <f>Bochten!N79*Bochten!C79</f>
        <v>0</v>
      </c>
      <c r="E86" s="350">
        <f>Bochten!R79</f>
        <v>0</v>
      </c>
      <c r="H86" s="443"/>
      <c r="I86" s="443"/>
      <c r="J86" s="443"/>
      <c r="K86" s="443"/>
      <c r="L86" s="443"/>
      <c r="M86" s="443"/>
      <c r="N86" s="443"/>
      <c r="O86" s="443"/>
      <c r="P86" s="443"/>
      <c r="Q86" s="443"/>
      <c r="R86" s="443"/>
    </row>
    <row r="87" spans="1:18" ht="15" customHeight="1">
      <c r="A87" s="361" t="str">
        <f>Bochten!J81</f>
        <v>None</v>
      </c>
      <c r="B87" s="348" t="str">
        <f>Bochten!F82</f>
        <v>-RctB----0-0-0-0----Options None</v>
      </c>
      <c r="C87" s="297">
        <f>Bochten!C83</f>
        <v>0</v>
      </c>
      <c r="D87" s="297">
        <f>Bochten!N83*Bochten!C83</f>
        <v>0</v>
      </c>
      <c r="E87" s="350">
        <f>Bochten!R83</f>
        <v>0</v>
      </c>
      <c r="H87" s="443"/>
      <c r="I87" s="443"/>
      <c r="J87" s="443"/>
      <c r="K87" s="443"/>
      <c r="L87" s="443"/>
      <c r="M87" s="443"/>
      <c r="N87" s="443"/>
      <c r="O87" s="443"/>
      <c r="P87" s="443"/>
      <c r="Q87" s="443"/>
      <c r="R87" s="443"/>
    </row>
    <row r="88" spans="1:18" ht="15" customHeight="1">
      <c r="A88" s="361" t="str">
        <f>Bochten!J85</f>
        <v>None</v>
      </c>
      <c r="B88" s="348" t="str">
        <f>Bochten!F86</f>
        <v>-RctB----0-0-0-0----Options None</v>
      </c>
      <c r="C88" s="297">
        <f>Bochten!C87</f>
        <v>0</v>
      </c>
      <c r="D88" s="297">
        <f>Bochten!N87*Bochten!C87</f>
        <v>0</v>
      </c>
      <c r="E88" s="350">
        <f>Bochten!R87</f>
        <v>0</v>
      </c>
      <c r="H88" s="443"/>
      <c r="I88" s="443"/>
      <c r="J88" s="443"/>
      <c r="K88" s="443"/>
      <c r="L88" s="443"/>
      <c r="M88" s="443"/>
      <c r="N88" s="443"/>
      <c r="O88" s="443"/>
      <c r="P88" s="443"/>
      <c r="Q88" s="443"/>
      <c r="R88" s="443"/>
    </row>
    <row r="89" spans="1:18" ht="15" customHeight="1">
      <c r="A89" s="361" t="str">
        <f>Bochten!J89</f>
        <v>None</v>
      </c>
      <c r="B89" s="348" t="str">
        <f>Bochten!F90</f>
        <v>-RctB----0-0-0-0----Options None</v>
      </c>
      <c r="C89" s="297">
        <f>Bochten!C91</f>
        <v>0</v>
      </c>
      <c r="D89" s="297">
        <f>Bochten!N91*Bochten!C91</f>
        <v>0</v>
      </c>
      <c r="E89" s="350">
        <f>Bochten!R91</f>
        <v>0</v>
      </c>
      <c r="H89" s="443"/>
      <c r="I89" s="443"/>
      <c r="J89" s="443"/>
      <c r="K89" s="443"/>
      <c r="L89" s="443"/>
      <c r="M89" s="443"/>
      <c r="N89" s="443"/>
      <c r="O89" s="443"/>
      <c r="P89" s="443"/>
      <c r="Q89" s="443"/>
      <c r="R89" s="443"/>
    </row>
    <row r="90" spans="1:18" ht="15" customHeight="1">
      <c r="A90" s="361" t="str">
        <f>Bochten!J93</f>
        <v>None</v>
      </c>
      <c r="B90" s="348" t="str">
        <f>Bochten!F94</f>
        <v>-RctB----0-0-0-0----Options None</v>
      </c>
      <c r="C90" s="297">
        <f>Bochten!C95</f>
        <v>0</v>
      </c>
      <c r="D90" s="297">
        <f>Bochten!N95*Bochten!C95</f>
        <v>0</v>
      </c>
      <c r="E90" s="350">
        <f>Bochten!R95</f>
        <v>0</v>
      </c>
      <c r="H90" s="443"/>
      <c r="I90" s="443"/>
      <c r="J90" s="443"/>
      <c r="K90" s="443"/>
      <c r="L90" s="443"/>
      <c r="M90" s="443"/>
      <c r="N90" s="443"/>
      <c r="O90" s="443"/>
      <c r="P90" s="443"/>
      <c r="Q90" s="443"/>
      <c r="R90" s="443"/>
    </row>
    <row r="91" spans="1:18" ht="15" customHeight="1">
      <c r="A91" s="361" t="str">
        <f>Bochten!J97</f>
        <v>None</v>
      </c>
      <c r="B91" s="348" t="str">
        <f>Bochten!F98</f>
        <v>-RctB----0-0-0-0----Options None</v>
      </c>
      <c r="C91" s="297">
        <f>Bochten!C99</f>
        <v>0</v>
      </c>
      <c r="D91" s="297">
        <f>Bochten!N99*Bochten!C99</f>
        <v>0</v>
      </c>
      <c r="E91" s="350">
        <f>Bochten!R99</f>
        <v>0</v>
      </c>
      <c r="H91" s="443"/>
      <c r="I91" s="443"/>
      <c r="J91" s="443"/>
      <c r="K91" s="443"/>
      <c r="L91" s="443"/>
      <c r="M91" s="443"/>
      <c r="N91" s="443"/>
      <c r="O91" s="443"/>
      <c r="P91" s="443"/>
      <c r="Q91" s="443"/>
      <c r="R91" s="443"/>
    </row>
    <row r="92" spans="1:18" ht="15" customHeight="1">
      <c r="A92" s="361" t="str">
        <f>Bochten!J101</f>
        <v>None</v>
      </c>
      <c r="B92" s="348" t="str">
        <f>Bochten!F102</f>
        <v>-RctB----0-0-0-0----Options None</v>
      </c>
      <c r="C92" s="297">
        <f>Bochten!C103</f>
        <v>0</v>
      </c>
      <c r="D92" s="297">
        <f>Bochten!N103*Bochten!C103</f>
        <v>0</v>
      </c>
      <c r="E92" s="350">
        <f>Bochten!R103</f>
        <v>0</v>
      </c>
      <c r="H92" s="443"/>
      <c r="I92" s="443"/>
      <c r="J92" s="443"/>
      <c r="K92" s="443"/>
      <c r="L92" s="443"/>
      <c r="M92" s="443"/>
      <c r="N92" s="443"/>
      <c r="O92" s="443"/>
      <c r="P92" s="443"/>
      <c r="Q92" s="443"/>
      <c r="R92" s="443"/>
    </row>
    <row r="93" spans="1:18" ht="15" customHeight="1">
      <c r="A93" s="361" t="str">
        <f>Bochten!J105</f>
        <v>None</v>
      </c>
      <c r="B93" s="348" t="str">
        <f>Bochten!F106</f>
        <v>-RctB----0-0-0-0----Options None</v>
      </c>
      <c r="C93" s="297">
        <f>Bochten!C107</f>
        <v>0</v>
      </c>
      <c r="D93" s="297">
        <f>Bochten!N107*Bochten!C107</f>
        <v>0</v>
      </c>
      <c r="E93" s="350">
        <f>Bochten!R107</f>
        <v>0</v>
      </c>
      <c r="H93" s="443"/>
      <c r="I93" s="443"/>
      <c r="J93" s="443"/>
      <c r="K93" s="443"/>
      <c r="L93" s="443"/>
      <c r="M93" s="443"/>
      <c r="N93" s="443"/>
      <c r="O93" s="443"/>
      <c r="P93" s="443"/>
      <c r="Q93" s="443"/>
      <c r="R93" s="443"/>
    </row>
    <row r="94" spans="1:18" ht="15" customHeight="1">
      <c r="A94" s="361" t="str">
        <f>Bochten!J109</f>
        <v>None</v>
      </c>
      <c r="B94" s="348" t="str">
        <f>Bochten!F110</f>
        <v>-RctB----0-0-0-0----Options None</v>
      </c>
      <c r="C94" s="297">
        <f>Bochten!C111</f>
        <v>0</v>
      </c>
      <c r="D94" s="297">
        <f>Bochten!N111*Bochten!C111</f>
        <v>0</v>
      </c>
      <c r="E94" s="350">
        <f>Bochten!R111</f>
        <v>0</v>
      </c>
      <c r="H94" s="443"/>
      <c r="I94" s="443"/>
      <c r="J94" s="443"/>
      <c r="K94" s="443"/>
      <c r="L94" s="443"/>
      <c r="M94" s="443"/>
      <c r="N94" s="443"/>
      <c r="O94" s="443"/>
      <c r="P94" s="443"/>
      <c r="Q94" s="443"/>
      <c r="R94" s="443"/>
    </row>
    <row r="95" spans="1:18" ht="15" customHeight="1">
      <c r="A95" s="361" t="str">
        <f>Bochten!J113</f>
        <v>None</v>
      </c>
      <c r="B95" s="348" t="str">
        <f>Bochten!F114</f>
        <v>-RctB----0-0-0-0----Options None</v>
      </c>
      <c r="C95" s="297">
        <f>Bochten!C115</f>
        <v>0</v>
      </c>
      <c r="D95" s="297">
        <f>Bochten!N115*Bochten!C115</f>
        <v>0</v>
      </c>
      <c r="E95" s="350">
        <f>Bochten!R115</f>
        <v>0</v>
      </c>
      <c r="H95" s="443"/>
      <c r="I95" s="443"/>
      <c r="J95" s="443"/>
      <c r="K95" s="443"/>
      <c r="L95" s="443"/>
      <c r="M95" s="443"/>
      <c r="N95" s="443"/>
      <c r="O95" s="443"/>
      <c r="P95" s="443"/>
      <c r="Q95" s="443"/>
      <c r="R95" s="443"/>
    </row>
    <row r="96" spans="1:18" ht="15" customHeight="1">
      <c r="A96" s="361" t="str">
        <f>Bochten!J117</f>
        <v>None</v>
      </c>
      <c r="B96" s="348" t="str">
        <f>Bochten!F118</f>
        <v>-RctB----0-0-0-0----Options None</v>
      </c>
      <c r="C96" s="297">
        <f>Bochten!C119</f>
        <v>0</v>
      </c>
      <c r="D96" s="297">
        <f>Bochten!N119*Bochten!C119</f>
        <v>0</v>
      </c>
      <c r="E96" s="350">
        <f>Bochten!R119</f>
        <v>0</v>
      </c>
      <c r="H96" s="443"/>
      <c r="I96" s="443"/>
      <c r="J96" s="443"/>
      <c r="K96" s="443"/>
      <c r="L96" s="443"/>
      <c r="M96" s="443"/>
      <c r="N96" s="443"/>
      <c r="O96" s="443"/>
      <c r="P96" s="443"/>
      <c r="Q96" s="443"/>
      <c r="R96" s="443"/>
    </row>
    <row r="97" spans="1:18" ht="15" customHeight="1">
      <c r="A97" s="361" t="str">
        <f>Bochten!J121</f>
        <v>None</v>
      </c>
      <c r="B97" s="348" t="str">
        <f>Bochten!F122</f>
        <v>-RctB----0-0-0-0----Options None</v>
      </c>
      <c r="C97" s="297">
        <f>Bochten!C123</f>
        <v>0</v>
      </c>
      <c r="D97" s="297">
        <f>Bochten!N123*Bochten!C123</f>
        <v>0</v>
      </c>
      <c r="E97" s="350">
        <f>Bochten!R123</f>
        <v>0</v>
      </c>
      <c r="H97" s="443"/>
      <c r="I97" s="443"/>
      <c r="J97" s="443"/>
      <c r="K97" s="443"/>
      <c r="L97" s="443"/>
      <c r="M97" s="443"/>
      <c r="N97" s="443"/>
      <c r="O97" s="443"/>
      <c r="P97" s="443"/>
      <c r="Q97" s="443"/>
      <c r="R97" s="443"/>
    </row>
    <row r="98" spans="1:18" ht="15" customHeight="1">
      <c r="A98" s="361" t="str">
        <f>Bochten!J125</f>
        <v>None</v>
      </c>
      <c r="B98" s="348" t="str">
        <f>Bochten!F126</f>
        <v>-RctB----0-0-0-0----Options None</v>
      </c>
      <c r="C98" s="297">
        <f>Bochten!C127</f>
        <v>0</v>
      </c>
      <c r="D98" s="297">
        <f>Bochten!N127*Bochten!C127</f>
        <v>0</v>
      </c>
      <c r="E98" s="350">
        <f>Bochten!R127</f>
        <v>0</v>
      </c>
      <c r="H98" s="443"/>
      <c r="I98" s="443"/>
      <c r="J98" s="443"/>
      <c r="K98" s="443"/>
      <c r="L98" s="443"/>
      <c r="M98" s="443"/>
      <c r="N98" s="443"/>
      <c r="O98" s="443"/>
      <c r="P98" s="443"/>
      <c r="Q98" s="443"/>
      <c r="R98" s="443"/>
    </row>
    <row r="99" spans="1:18" ht="15" customHeight="1">
      <c r="A99" s="361" t="str">
        <f>Bochten!J129</f>
        <v>None</v>
      </c>
      <c r="B99" s="348" t="str">
        <f>Bochten!F130</f>
        <v>-RctB----0-0-0-0----Options None</v>
      </c>
      <c r="C99" s="297">
        <f>Bochten!C131</f>
        <v>0</v>
      </c>
      <c r="D99" s="297">
        <f>Bochten!N131*Bochten!C131</f>
        <v>0</v>
      </c>
      <c r="E99" s="350">
        <f>Bochten!R131</f>
        <v>0</v>
      </c>
      <c r="H99" s="443"/>
      <c r="I99" s="443"/>
      <c r="J99" s="443"/>
      <c r="K99" s="443"/>
      <c r="L99" s="443"/>
      <c r="M99" s="443"/>
      <c r="N99" s="443"/>
      <c r="O99" s="443"/>
      <c r="P99" s="443"/>
      <c r="Q99" s="443"/>
      <c r="R99" s="443"/>
    </row>
    <row r="100" spans="1:18" ht="15" customHeight="1">
      <c r="A100" s="361" t="str">
        <f>Bochten!J133</f>
        <v>None</v>
      </c>
      <c r="B100" s="348" t="str">
        <f>Bochten!F134</f>
        <v>-RctB----0-0-0-0----Options None</v>
      </c>
      <c r="C100" s="297">
        <f>Bochten!C135</f>
        <v>0</v>
      </c>
      <c r="D100" s="297">
        <f>Bochten!N135*Bochten!C135</f>
        <v>0</v>
      </c>
      <c r="E100" s="350">
        <f>Bochten!R135</f>
        <v>0</v>
      </c>
      <c r="H100" s="443"/>
      <c r="I100" s="443"/>
      <c r="J100" s="443"/>
      <c r="K100" s="443"/>
      <c r="L100" s="443"/>
      <c r="M100" s="443"/>
      <c r="N100" s="443"/>
      <c r="O100" s="443"/>
      <c r="P100" s="443"/>
      <c r="Q100" s="443"/>
      <c r="R100" s="443"/>
    </row>
    <row r="101" spans="1:18" ht="15" customHeight="1" thickBot="1">
      <c r="A101" s="362" t="str">
        <f>Bochten!J137</f>
        <v>None</v>
      </c>
      <c r="B101" s="349" t="str">
        <f>Bochten!F138</f>
        <v>-RctB----0-0-0-0----Options None</v>
      </c>
      <c r="C101" s="298">
        <f>Bochten!C139</f>
        <v>0</v>
      </c>
      <c r="D101" s="298">
        <f>Bochten!N139*Bochten!C139</f>
        <v>0</v>
      </c>
      <c r="E101" s="351">
        <f>Bochten!R139</f>
        <v>0</v>
      </c>
      <c r="H101" s="443"/>
      <c r="I101" s="443"/>
      <c r="J101" s="443"/>
      <c r="K101" s="443"/>
      <c r="L101" s="443"/>
      <c r="M101" s="443"/>
      <c r="N101" s="443"/>
      <c r="O101" s="443"/>
      <c r="P101" s="443"/>
      <c r="Q101" s="443"/>
      <c r="R101" s="443"/>
    </row>
    <row r="102" spans="1:18" ht="15" customHeight="1">
      <c r="A102" s="360" t="str">
        <f>informatieblad!D15</f>
        <v>Verlopen Recht-Rond  (RctRR)</v>
      </c>
      <c r="B102" s="364"/>
      <c r="C102" s="296"/>
      <c r="D102" s="296"/>
      <c r="E102" s="365"/>
      <c r="H102" s="443"/>
      <c r="I102" s="443"/>
      <c r="J102" s="443"/>
      <c r="K102" s="443"/>
      <c r="L102" s="443"/>
      <c r="M102" s="443"/>
      <c r="N102" s="443"/>
      <c r="O102" s="443"/>
      <c r="P102" s="443"/>
      <c r="Q102" s="443"/>
      <c r="R102" s="443"/>
    </row>
    <row r="103" spans="1:18" ht="15" customHeight="1">
      <c r="A103" s="361" t="str">
        <f>'Verlopen Recht-Rond'!L21</f>
        <v>None</v>
      </c>
      <c r="B103" s="348" t="str">
        <f>'Verlopen Recht-Rond'!D26</f>
        <v>-RctRR----0-0-0-0-----Options None</v>
      </c>
      <c r="C103" s="297">
        <f>'Verlopen Recht-Rond'!C27</f>
        <v>0</v>
      </c>
      <c r="D103" s="297">
        <f>'Verlopen Recht-Rond'!W27*'Verlopen Recht-Rond'!C27</f>
        <v>0</v>
      </c>
      <c r="E103" s="350">
        <f>'Verlopen Recht-Rond'!AA27</f>
        <v>0</v>
      </c>
      <c r="H103" s="443"/>
      <c r="I103" s="443"/>
      <c r="J103" s="443"/>
      <c r="K103" s="443"/>
      <c r="L103" s="443"/>
      <c r="M103" s="443"/>
      <c r="N103" s="443"/>
      <c r="O103" s="443"/>
      <c r="P103" s="443"/>
      <c r="Q103" s="443"/>
      <c r="R103" s="443"/>
    </row>
    <row r="104" spans="1:18" ht="15" customHeight="1">
      <c r="A104" s="361" t="str">
        <f>'Verlopen Recht-Rond'!L25</f>
        <v>None</v>
      </c>
      <c r="B104" s="348" t="str">
        <f>'Verlopen Recht-Rond'!D30</f>
        <v>-RctRR----0-0-0-0-----Options None</v>
      </c>
      <c r="C104" s="297">
        <f>'Verlopen Recht-Rond'!C31</f>
        <v>0</v>
      </c>
      <c r="D104" s="297">
        <f>'Verlopen Recht-Rond'!W31*'Verlopen Recht-Rond'!C31</f>
        <v>0</v>
      </c>
      <c r="E104" s="350">
        <f>'Verlopen Recht-Rond'!AA31</f>
        <v>0</v>
      </c>
      <c r="H104" s="443"/>
      <c r="I104" s="443"/>
      <c r="J104" s="443"/>
      <c r="K104" s="443"/>
      <c r="L104" s="443"/>
      <c r="M104" s="443"/>
      <c r="N104" s="443"/>
      <c r="O104" s="443"/>
      <c r="P104" s="443"/>
      <c r="Q104" s="443"/>
      <c r="R104" s="443"/>
    </row>
    <row r="105" spans="1:18" ht="15" customHeight="1">
      <c r="A105" s="361" t="str">
        <f>'Verlopen Recht-Rond'!L29</f>
        <v>None</v>
      </c>
      <c r="B105" s="348" t="str">
        <f>'Verlopen Recht-Rond'!D34</f>
        <v>-RctRR----0-0-0-0-----Options None</v>
      </c>
      <c r="C105" s="297">
        <f>'Verlopen Recht-Rond'!C35</f>
        <v>0</v>
      </c>
      <c r="D105" s="297">
        <f>'Verlopen Recht-Rond'!W35*'Verlopen Recht-Rond'!C35</f>
        <v>0</v>
      </c>
      <c r="E105" s="350">
        <f>'Verlopen Recht-Rond'!AA35</f>
        <v>0</v>
      </c>
      <c r="H105" s="443"/>
      <c r="I105" s="443"/>
      <c r="J105" s="443"/>
      <c r="K105" s="443"/>
      <c r="L105" s="443"/>
      <c r="M105" s="443"/>
      <c r="N105" s="443"/>
      <c r="O105" s="443"/>
      <c r="P105" s="443"/>
      <c r="Q105" s="443"/>
      <c r="R105" s="443"/>
    </row>
    <row r="106" spans="1:18" ht="15" customHeight="1">
      <c r="A106" s="361" t="str">
        <f>'Verlopen Recht-Rond'!L33</f>
        <v>None</v>
      </c>
      <c r="B106" s="348" t="str">
        <f>'Verlopen Recht-Rond'!D38</f>
        <v>-RctRR----0-0-0-0-----Options None</v>
      </c>
      <c r="C106" s="297">
        <f>'Verlopen Recht-Rond'!C39</f>
        <v>0</v>
      </c>
      <c r="D106" s="297">
        <f>'Verlopen Recht-Rond'!W39*'Verlopen Recht-Rond'!C39</f>
        <v>0</v>
      </c>
      <c r="E106" s="350">
        <f>'Verlopen Recht-Rond'!AA39</f>
        <v>0</v>
      </c>
      <c r="H106" s="443"/>
      <c r="I106" s="443"/>
      <c r="J106" s="443"/>
      <c r="K106" s="443"/>
      <c r="L106" s="443"/>
      <c r="M106" s="443"/>
      <c r="N106" s="443"/>
      <c r="O106" s="443"/>
      <c r="P106" s="443"/>
      <c r="Q106" s="443"/>
      <c r="R106" s="443"/>
    </row>
    <row r="107" spans="1:18" ht="15" customHeight="1">
      <c r="A107" s="361" t="str">
        <f>'Verlopen Recht-Rond'!L37</f>
        <v>None</v>
      </c>
      <c r="B107" s="348" t="str">
        <f>'Verlopen Recht-Rond'!D42</f>
        <v>-RctRR----0-0-0-0-----Options None</v>
      </c>
      <c r="C107" s="297">
        <f>'Verlopen Recht-Rond'!C43</f>
        <v>0</v>
      </c>
      <c r="D107" s="297">
        <f>'Verlopen Recht-Rond'!W43*'Verlopen Recht-Rond'!C43</f>
        <v>0</v>
      </c>
      <c r="E107" s="350">
        <f>'Verlopen Recht-Rond'!AA43</f>
        <v>0</v>
      </c>
      <c r="H107" s="443"/>
      <c r="I107" s="443"/>
      <c r="J107" s="443"/>
      <c r="K107" s="443"/>
      <c r="L107" s="443"/>
      <c r="M107" s="443"/>
      <c r="N107" s="443"/>
      <c r="O107" s="443"/>
      <c r="P107" s="443"/>
      <c r="Q107" s="443"/>
      <c r="R107" s="443"/>
    </row>
    <row r="108" spans="1:18" ht="15" customHeight="1">
      <c r="A108" s="361" t="str">
        <f>'Verlopen Recht-Rond'!L41</f>
        <v>None</v>
      </c>
      <c r="B108" s="348" t="str">
        <f>'Verlopen Recht-Rond'!D46</f>
        <v>-RctRR----0-0-0-0-----Options None</v>
      </c>
      <c r="C108" s="297">
        <f>'Verlopen Recht-Rond'!C47</f>
        <v>0</v>
      </c>
      <c r="D108" s="297">
        <f>'Verlopen Recht-Rond'!W47*'Verlopen Recht-Rond'!C47</f>
        <v>0</v>
      </c>
      <c r="E108" s="350">
        <f>'Verlopen Recht-Rond'!AA47</f>
        <v>0</v>
      </c>
      <c r="H108" s="443"/>
      <c r="I108" s="443"/>
      <c r="J108" s="443"/>
      <c r="K108" s="443"/>
      <c r="L108" s="443"/>
      <c r="M108" s="443"/>
      <c r="N108" s="443"/>
      <c r="O108" s="443"/>
      <c r="P108" s="443"/>
      <c r="Q108" s="443"/>
      <c r="R108" s="443"/>
    </row>
    <row r="109" spans="1:18" ht="15" customHeight="1">
      <c r="A109" s="361" t="str">
        <f>'Verlopen Recht-Rond'!L45</f>
        <v>None</v>
      </c>
      <c r="B109" s="348" t="str">
        <f>'Verlopen Recht-Rond'!D50</f>
        <v>-RctRR----0-0-0-0-----Options None</v>
      </c>
      <c r="C109" s="297">
        <f>'Verlopen Recht-Rond'!C51</f>
        <v>0</v>
      </c>
      <c r="D109" s="297">
        <f>'Verlopen Recht-Rond'!W51*'Verlopen Recht-Rond'!C51</f>
        <v>0</v>
      </c>
      <c r="E109" s="350">
        <f>'Verlopen Recht-Rond'!AA51</f>
        <v>0</v>
      </c>
      <c r="H109" s="443"/>
      <c r="I109" s="443"/>
      <c r="J109" s="443"/>
      <c r="K109" s="443"/>
      <c r="L109" s="443"/>
      <c r="M109" s="443"/>
      <c r="N109" s="443"/>
      <c r="O109" s="443"/>
      <c r="P109" s="443"/>
      <c r="Q109" s="443"/>
      <c r="R109" s="443"/>
    </row>
    <row r="110" spans="1:18" ht="15" customHeight="1">
      <c r="A110" s="361" t="str">
        <f>'Verlopen Recht-Rond'!L49</f>
        <v>None</v>
      </c>
      <c r="B110" s="348" t="str">
        <f>'Verlopen Recht-Rond'!D54</f>
        <v>-RctRR----0-0-0-0-----Options None</v>
      </c>
      <c r="C110" s="297">
        <f>'Verlopen Recht-Rond'!C55</f>
        <v>0</v>
      </c>
      <c r="D110" s="297">
        <f>'Verlopen Recht-Rond'!W55*'Verlopen Recht-Rond'!C55</f>
        <v>0</v>
      </c>
      <c r="E110" s="350">
        <f>'Verlopen Recht-Rond'!AA55</f>
        <v>0</v>
      </c>
      <c r="H110" s="443"/>
      <c r="I110" s="443"/>
      <c r="J110" s="443"/>
      <c r="K110" s="443"/>
      <c r="L110" s="443"/>
      <c r="M110" s="443"/>
      <c r="N110" s="443"/>
      <c r="O110" s="443"/>
      <c r="P110" s="443"/>
      <c r="Q110" s="443"/>
      <c r="R110" s="443"/>
    </row>
    <row r="111" spans="1:18" ht="15" customHeight="1">
      <c r="A111" s="361" t="str">
        <f>'Verlopen Recht-Rond'!L53</f>
        <v>None</v>
      </c>
      <c r="B111" s="348" t="str">
        <f>'Verlopen Recht-Rond'!D58</f>
        <v>-RctRR----0-0-0-0-----Options None</v>
      </c>
      <c r="C111" s="297">
        <f>'Verlopen Recht-Rond'!C59</f>
        <v>0</v>
      </c>
      <c r="D111" s="297">
        <f>'Verlopen Recht-Rond'!W59*'Verlopen Recht-Rond'!C59</f>
        <v>0</v>
      </c>
      <c r="E111" s="350">
        <f>'Verlopen Recht-Rond'!AA59</f>
        <v>0</v>
      </c>
      <c r="H111" s="443"/>
      <c r="I111" s="443"/>
      <c r="J111" s="443"/>
      <c r="K111" s="443"/>
      <c r="L111" s="443"/>
      <c r="M111" s="443"/>
      <c r="N111" s="443"/>
      <c r="O111" s="443"/>
      <c r="P111" s="443"/>
      <c r="Q111" s="443"/>
      <c r="R111" s="443"/>
    </row>
    <row r="112" spans="1:18" ht="15" customHeight="1">
      <c r="A112" s="361" t="str">
        <f>'Verlopen Recht-Rond'!L57</f>
        <v>None</v>
      </c>
      <c r="B112" s="348" t="str">
        <f>'Verlopen Recht-Rond'!D62</f>
        <v>-RctRR----0-0-0-0-----Options None</v>
      </c>
      <c r="C112" s="297">
        <f>'Verlopen Recht-Rond'!C63</f>
        <v>0</v>
      </c>
      <c r="D112" s="297">
        <f>'Verlopen Recht-Rond'!W63*'Verlopen Recht-Rond'!C63</f>
        <v>0</v>
      </c>
      <c r="E112" s="350">
        <f>'Verlopen Recht-Rond'!AA63</f>
        <v>0</v>
      </c>
      <c r="H112" s="443"/>
      <c r="I112" s="443"/>
      <c r="J112" s="443"/>
      <c r="K112" s="443"/>
      <c r="L112" s="443"/>
      <c r="M112" s="443"/>
      <c r="N112" s="443"/>
      <c r="O112" s="443"/>
      <c r="P112" s="443"/>
      <c r="Q112" s="443"/>
      <c r="R112" s="443"/>
    </row>
    <row r="113" spans="1:18" ht="15" customHeight="1">
      <c r="A113" s="361" t="str">
        <f>'Verlopen Recht-Rond'!L61</f>
        <v>None</v>
      </c>
      <c r="B113" s="348" t="str">
        <f>'Verlopen Recht-Rond'!D66</f>
        <v>-RctRR----0-0-0-0-----Options None</v>
      </c>
      <c r="C113" s="297">
        <f>'Verlopen Recht-Rond'!C67</f>
        <v>0</v>
      </c>
      <c r="D113" s="297">
        <f>'Verlopen Recht-Rond'!W67*'Verlopen Recht-Rond'!C67</f>
        <v>0</v>
      </c>
      <c r="E113" s="350">
        <f>'Verlopen Recht-Rond'!AA67</f>
        <v>0</v>
      </c>
      <c r="H113" s="443"/>
      <c r="I113" s="443"/>
      <c r="J113" s="443"/>
      <c r="K113" s="443"/>
      <c r="L113" s="443"/>
      <c r="M113" s="443"/>
      <c r="N113" s="443"/>
      <c r="O113" s="443"/>
      <c r="P113" s="443"/>
      <c r="Q113" s="443"/>
      <c r="R113" s="443"/>
    </row>
    <row r="114" spans="1:18" ht="15" customHeight="1">
      <c r="A114" s="361" t="str">
        <f>'Verlopen Recht-Rond'!L65</f>
        <v>None</v>
      </c>
      <c r="B114" s="348" t="str">
        <f>'Verlopen Recht-Rond'!D70</f>
        <v>-RctRR----0-0-0-0-----Options None</v>
      </c>
      <c r="C114" s="297">
        <f>'Verlopen Recht-Rond'!C71</f>
        <v>0</v>
      </c>
      <c r="D114" s="297">
        <f>'Verlopen Recht-Rond'!W71*'Verlopen Recht-Rond'!C71</f>
        <v>0</v>
      </c>
      <c r="E114" s="350">
        <f>'Verlopen Recht-Rond'!AA71</f>
        <v>0</v>
      </c>
      <c r="H114" s="443"/>
      <c r="I114" s="443"/>
      <c r="J114" s="443"/>
      <c r="K114" s="443"/>
      <c r="L114" s="443"/>
      <c r="M114" s="443"/>
      <c r="N114" s="443"/>
      <c r="O114" s="443"/>
      <c r="P114" s="443"/>
      <c r="Q114" s="443"/>
      <c r="R114" s="443"/>
    </row>
    <row r="115" spans="1:18" ht="15" customHeight="1">
      <c r="A115" s="361" t="str">
        <f>'Verlopen Recht-Rond'!L69</f>
        <v>None</v>
      </c>
      <c r="B115" s="348" t="str">
        <f>'Verlopen Recht-Rond'!D74</f>
        <v>-RctRR----0-0-0-0-----Options None</v>
      </c>
      <c r="C115" s="297">
        <f>'Verlopen Recht-Rond'!C75</f>
        <v>0</v>
      </c>
      <c r="D115" s="297">
        <f>'Verlopen Recht-Rond'!W75*'Verlopen Recht-Rond'!C75</f>
        <v>0</v>
      </c>
      <c r="E115" s="350">
        <f>'Verlopen Recht-Rond'!AA75</f>
        <v>0</v>
      </c>
      <c r="H115" s="443"/>
      <c r="I115" s="443"/>
      <c r="J115" s="443"/>
      <c r="K115" s="443"/>
      <c r="L115" s="443"/>
      <c r="M115" s="443"/>
      <c r="N115" s="443"/>
      <c r="O115" s="443"/>
      <c r="P115" s="443"/>
      <c r="Q115" s="443"/>
      <c r="R115" s="443"/>
    </row>
    <row r="116" spans="1:18" ht="15" customHeight="1">
      <c r="A116" s="361" t="str">
        <f>'Verlopen Recht-Rond'!L73</f>
        <v>None</v>
      </c>
      <c r="B116" s="348" t="str">
        <f>'Verlopen Recht-Rond'!D78</f>
        <v>-RctRR----0-0-0-0-----Options None</v>
      </c>
      <c r="C116" s="297">
        <f>'Verlopen Recht-Rond'!C79</f>
        <v>0</v>
      </c>
      <c r="D116" s="297">
        <f>'Verlopen Recht-Rond'!W79*'Verlopen Recht-Rond'!C79</f>
        <v>0</v>
      </c>
      <c r="E116" s="350">
        <f>'Verlopen Recht-Rond'!AA79</f>
        <v>0</v>
      </c>
      <c r="H116" s="443"/>
      <c r="I116" s="443"/>
      <c r="J116" s="443"/>
      <c r="K116" s="443"/>
      <c r="L116" s="443"/>
      <c r="M116" s="443"/>
      <c r="N116" s="443"/>
      <c r="O116" s="443"/>
      <c r="P116" s="443"/>
      <c r="Q116" s="443"/>
      <c r="R116" s="443"/>
    </row>
    <row r="117" spans="1:18" ht="15" customHeight="1">
      <c r="A117" s="361" t="str">
        <f>'Verlopen Recht-Rond'!L77</f>
        <v>None</v>
      </c>
      <c r="B117" s="348" t="str">
        <f>'Verlopen Recht-Rond'!D82</f>
        <v>-RctRR----0-0-0-0-----Options None</v>
      </c>
      <c r="C117" s="297">
        <f>'Verlopen Recht-Rond'!C83</f>
        <v>0</v>
      </c>
      <c r="D117" s="297">
        <f>'Verlopen Recht-Rond'!W83*'Verlopen Recht-Rond'!C83</f>
        <v>0</v>
      </c>
      <c r="E117" s="350">
        <f>'Verlopen Recht-Rond'!AA83</f>
        <v>0</v>
      </c>
      <c r="H117" s="443"/>
      <c r="I117" s="443"/>
      <c r="J117" s="443"/>
      <c r="K117" s="443"/>
      <c r="L117" s="443"/>
      <c r="M117" s="443"/>
      <c r="N117" s="443"/>
      <c r="O117" s="443"/>
      <c r="P117" s="443"/>
      <c r="Q117" s="443"/>
      <c r="R117" s="443"/>
    </row>
    <row r="118" spans="1:18" ht="15" customHeight="1">
      <c r="A118" s="361" t="str">
        <f>'Verlopen Recht-Rond'!L81</f>
        <v>None</v>
      </c>
      <c r="B118" s="348" t="str">
        <f>'Verlopen Recht-Rond'!D86</f>
        <v>-RctRR----0-0-0-0-----Options None</v>
      </c>
      <c r="C118" s="297">
        <f>'Verlopen Recht-Rond'!C87</f>
        <v>0</v>
      </c>
      <c r="D118" s="297">
        <f>'Verlopen Recht-Rond'!W87*'Verlopen Recht-Rond'!C87</f>
        <v>0</v>
      </c>
      <c r="E118" s="350">
        <f>'Verlopen Recht-Rond'!AA87</f>
        <v>0</v>
      </c>
      <c r="H118" s="443"/>
      <c r="I118" s="443"/>
      <c r="J118" s="443"/>
      <c r="K118" s="443"/>
      <c r="L118" s="443"/>
      <c r="M118" s="443"/>
      <c r="N118" s="443"/>
      <c r="O118" s="443"/>
      <c r="P118" s="443"/>
      <c r="Q118" s="443"/>
      <c r="R118" s="443"/>
    </row>
    <row r="119" spans="1:18" ht="15" customHeight="1">
      <c r="A119" s="361" t="str">
        <f>'Verlopen Recht-Rond'!L85</f>
        <v>None</v>
      </c>
      <c r="B119" s="348" t="str">
        <f>'Verlopen Recht-Rond'!D90</f>
        <v>-RctRR----0-0-0-0-----Options None</v>
      </c>
      <c r="C119" s="297">
        <f>'Verlopen Recht-Rond'!C91</f>
        <v>0</v>
      </c>
      <c r="D119" s="297">
        <f>'Verlopen Recht-Rond'!W91*'Verlopen Recht-Rond'!C91</f>
        <v>0</v>
      </c>
      <c r="E119" s="350">
        <f>'Verlopen Recht-Rond'!AA91</f>
        <v>0</v>
      </c>
      <c r="H119" s="443"/>
      <c r="I119" s="443"/>
      <c r="J119" s="443"/>
      <c r="K119" s="443"/>
      <c r="L119" s="443"/>
      <c r="M119" s="443"/>
      <c r="N119" s="443"/>
      <c r="O119" s="443"/>
      <c r="P119" s="443"/>
      <c r="Q119" s="443"/>
      <c r="R119" s="443"/>
    </row>
    <row r="120" spans="1:18" ht="15" customHeight="1">
      <c r="A120" s="361" t="str">
        <f>'Verlopen Recht-Rond'!L89</f>
        <v>None</v>
      </c>
      <c r="B120" s="348" t="str">
        <f>'Verlopen Recht-Rond'!D94</f>
        <v>-RctRR----0-0-0-0-----Options None</v>
      </c>
      <c r="C120" s="297">
        <f>'Verlopen Recht-Rond'!C95</f>
        <v>0</v>
      </c>
      <c r="D120" s="297">
        <f>'Verlopen Recht-Rond'!W95*'Verlopen Recht-Rond'!C95</f>
        <v>0</v>
      </c>
      <c r="E120" s="350">
        <f>'Verlopen Recht-Rond'!AA95</f>
        <v>0</v>
      </c>
      <c r="H120" s="443"/>
      <c r="I120" s="443"/>
      <c r="J120" s="443"/>
      <c r="K120" s="443"/>
      <c r="L120" s="443"/>
      <c r="M120" s="443"/>
      <c r="N120" s="443"/>
      <c r="O120" s="443"/>
      <c r="P120" s="443"/>
      <c r="Q120" s="443"/>
      <c r="R120" s="443"/>
    </row>
    <row r="121" spans="1:18" ht="15" customHeight="1">
      <c r="A121" s="361" t="str">
        <f>'Verlopen Recht-Rond'!L93</f>
        <v>None</v>
      </c>
      <c r="B121" s="348" t="str">
        <f>'Verlopen Recht-Rond'!D98</f>
        <v>-RctRR----0-0-0-0-----Options None</v>
      </c>
      <c r="C121" s="297">
        <f>'Verlopen Recht-Rond'!C99</f>
        <v>0</v>
      </c>
      <c r="D121" s="297">
        <f>'Verlopen Recht-Rond'!W99*'Verlopen Recht-Rond'!C99</f>
        <v>0</v>
      </c>
      <c r="E121" s="350">
        <f>'Verlopen Recht-Rond'!AA99</f>
        <v>0</v>
      </c>
      <c r="H121" s="443"/>
      <c r="I121" s="443"/>
      <c r="J121" s="443"/>
      <c r="K121" s="443"/>
      <c r="L121" s="443"/>
      <c r="M121" s="443"/>
      <c r="N121" s="443"/>
      <c r="O121" s="443"/>
      <c r="P121" s="443"/>
      <c r="Q121" s="443"/>
      <c r="R121" s="443"/>
    </row>
    <row r="122" spans="1:18" ht="15" customHeight="1">
      <c r="A122" s="361" t="str">
        <f>'Verlopen Recht-Rond'!L97</f>
        <v>None</v>
      </c>
      <c r="B122" s="348" t="str">
        <f>'Verlopen Recht-Rond'!D102</f>
        <v>-RctRR----0-0-0-0-----Options None</v>
      </c>
      <c r="C122" s="297">
        <f>'Verlopen Recht-Rond'!C103</f>
        <v>0</v>
      </c>
      <c r="D122" s="297">
        <f>'Verlopen Recht-Rond'!W103*'Verlopen Recht-Rond'!C103</f>
        <v>0</v>
      </c>
      <c r="E122" s="350">
        <f>'Verlopen Recht-Rond'!AA103</f>
        <v>0</v>
      </c>
      <c r="H122" s="443"/>
      <c r="I122" s="443"/>
      <c r="J122" s="443"/>
      <c r="K122" s="443"/>
      <c r="L122" s="443"/>
      <c r="M122" s="443"/>
      <c r="N122" s="443"/>
      <c r="O122" s="443"/>
      <c r="P122" s="443"/>
      <c r="Q122" s="443"/>
      <c r="R122" s="443"/>
    </row>
    <row r="123" spans="1:18" ht="15" customHeight="1">
      <c r="A123" s="361" t="str">
        <f>'Verlopen Recht-Rond'!L101</f>
        <v>None</v>
      </c>
      <c r="B123" s="348" t="str">
        <f>'Verlopen Recht-Rond'!D106</f>
        <v>-RctRR----0-0-0-0-----Options None</v>
      </c>
      <c r="C123" s="297">
        <f>'Verlopen Recht-Rond'!C107</f>
        <v>0</v>
      </c>
      <c r="D123" s="297">
        <f>'Verlopen Recht-Rond'!W107*'Verlopen Recht-Rond'!C107</f>
        <v>0</v>
      </c>
      <c r="E123" s="350">
        <f>'Verlopen Recht-Rond'!AA107</f>
        <v>0</v>
      </c>
      <c r="H123" s="443"/>
      <c r="I123" s="443"/>
      <c r="J123" s="443"/>
      <c r="K123" s="443"/>
      <c r="L123" s="443"/>
      <c r="M123" s="443"/>
      <c r="N123" s="443"/>
      <c r="O123" s="443"/>
      <c r="P123" s="443"/>
      <c r="Q123" s="443"/>
      <c r="R123" s="443"/>
    </row>
    <row r="124" spans="1:18" ht="15" customHeight="1">
      <c r="A124" s="361" t="str">
        <f>'Verlopen Recht-Rond'!L105</f>
        <v>None</v>
      </c>
      <c r="B124" s="348" t="str">
        <f>'Verlopen Recht-Rond'!D110</f>
        <v>-RctRR----0-0-0-0-----Options None</v>
      </c>
      <c r="C124" s="297">
        <f>'Verlopen Recht-Rond'!C111</f>
        <v>0</v>
      </c>
      <c r="D124" s="297">
        <f>'Verlopen Recht-Rond'!W111*'Verlopen Recht-Rond'!C111</f>
        <v>0</v>
      </c>
      <c r="E124" s="350">
        <f>'Verlopen Recht-Rond'!AA111</f>
        <v>0</v>
      </c>
      <c r="H124" s="443"/>
      <c r="I124" s="443"/>
      <c r="J124" s="443"/>
      <c r="K124" s="443"/>
      <c r="L124" s="443"/>
      <c r="M124" s="443"/>
      <c r="N124" s="443"/>
      <c r="O124" s="443"/>
      <c r="P124" s="443"/>
      <c r="Q124" s="443"/>
      <c r="R124" s="443"/>
    </row>
    <row r="125" spans="1:18" ht="15" customHeight="1">
      <c r="A125" s="361" t="str">
        <f>'Verlopen Recht-Rond'!L109</f>
        <v>None</v>
      </c>
      <c r="B125" s="348" t="str">
        <f>'Verlopen Recht-Rond'!D114</f>
        <v>-RctRR----0-0-0-0-----Options None</v>
      </c>
      <c r="C125" s="297">
        <f>'Verlopen Recht-Rond'!C115</f>
        <v>0</v>
      </c>
      <c r="D125" s="297">
        <f>'Verlopen Recht-Rond'!W115*'Verlopen Recht-Rond'!C115</f>
        <v>0</v>
      </c>
      <c r="E125" s="350">
        <f>'Verlopen Recht-Rond'!AA115</f>
        <v>0</v>
      </c>
      <c r="H125" s="443"/>
      <c r="I125" s="443"/>
      <c r="J125" s="443"/>
      <c r="K125" s="443"/>
      <c r="L125" s="443"/>
      <c r="M125" s="443"/>
      <c r="N125" s="443"/>
      <c r="O125" s="443"/>
      <c r="P125" s="443"/>
      <c r="Q125" s="443"/>
      <c r="R125" s="443"/>
    </row>
    <row r="126" spans="1:18" ht="15" customHeight="1">
      <c r="A126" s="361" t="str">
        <f>'Verlopen Recht-Rond'!L113</f>
        <v>None</v>
      </c>
      <c r="B126" s="348" t="str">
        <f>'Verlopen Recht-Rond'!D118</f>
        <v>-RctRR----0-0-0-0-----Options None</v>
      </c>
      <c r="C126" s="297">
        <f>'Verlopen Recht-Rond'!C119</f>
        <v>0</v>
      </c>
      <c r="D126" s="297">
        <f>'Verlopen Recht-Rond'!W119*'Verlopen Recht-Rond'!C119</f>
        <v>0</v>
      </c>
      <c r="E126" s="350">
        <f>'Verlopen Recht-Rond'!AA119</f>
        <v>0</v>
      </c>
      <c r="H126" s="443"/>
      <c r="I126" s="443"/>
      <c r="J126" s="443"/>
      <c r="K126" s="443"/>
      <c r="L126" s="443"/>
      <c r="M126" s="443"/>
      <c r="N126" s="443"/>
      <c r="O126" s="443"/>
      <c r="P126" s="443"/>
      <c r="Q126" s="443"/>
      <c r="R126" s="443"/>
    </row>
    <row r="127" spans="1:18" ht="15" customHeight="1">
      <c r="A127" s="361" t="str">
        <f>'Verlopen Recht-Rond'!L117</f>
        <v>None</v>
      </c>
      <c r="B127" s="348" t="str">
        <f>'Verlopen Recht-Rond'!D122</f>
        <v>-RctRR----0-0-0-0-----Options None</v>
      </c>
      <c r="C127" s="297">
        <f>'Verlopen Recht-Rond'!C123</f>
        <v>0</v>
      </c>
      <c r="D127" s="297">
        <f>'Verlopen Recht-Rond'!W123*'Verlopen Recht-Rond'!C123</f>
        <v>0</v>
      </c>
      <c r="E127" s="350">
        <f>'Verlopen Recht-Rond'!AA123</f>
        <v>0</v>
      </c>
      <c r="H127" s="443"/>
      <c r="I127" s="443"/>
      <c r="J127" s="443"/>
      <c r="K127" s="443"/>
      <c r="L127" s="443"/>
      <c r="M127" s="443"/>
      <c r="N127" s="443"/>
      <c r="O127" s="443"/>
      <c r="P127" s="443"/>
      <c r="Q127" s="443"/>
      <c r="R127" s="443"/>
    </row>
    <row r="128" spans="1:18" ht="15" customHeight="1">
      <c r="A128" s="361" t="str">
        <f>'Verlopen Recht-Rond'!L121</f>
        <v>None</v>
      </c>
      <c r="B128" s="348" t="str">
        <f>'Verlopen Recht-Rond'!D126</f>
        <v>-RctRR----0-0-0-0-----Options None</v>
      </c>
      <c r="C128" s="297">
        <f>'Verlopen Recht-Rond'!C127</f>
        <v>0</v>
      </c>
      <c r="D128" s="297">
        <f>'Verlopen Recht-Rond'!W127*'Verlopen Recht-Rond'!C127</f>
        <v>0</v>
      </c>
      <c r="E128" s="350">
        <f>'Verlopen Recht-Rond'!AA127</f>
        <v>0</v>
      </c>
      <c r="H128" s="443"/>
      <c r="I128" s="443"/>
      <c r="J128" s="443"/>
      <c r="K128" s="443"/>
      <c r="L128" s="443"/>
      <c r="M128" s="443"/>
      <c r="N128" s="443"/>
      <c r="O128" s="443"/>
      <c r="P128" s="443"/>
      <c r="Q128" s="443"/>
      <c r="R128" s="443"/>
    </row>
    <row r="129" spans="1:18" ht="15" customHeight="1">
      <c r="A129" s="361" t="str">
        <f>'Verlopen Recht-Rond'!L125</f>
        <v>None</v>
      </c>
      <c r="B129" s="348" t="str">
        <f>'Verlopen Recht-Rond'!D130</f>
        <v>-RctRR----0-0-0-0-----Options None</v>
      </c>
      <c r="C129" s="297">
        <f>'Verlopen Recht-Rond'!C131</f>
        <v>0</v>
      </c>
      <c r="D129" s="297">
        <f>'Verlopen Recht-Rond'!W131*'Verlopen Recht-Rond'!C131</f>
        <v>0</v>
      </c>
      <c r="E129" s="350">
        <f>'Verlopen Recht-Rond'!AA131</f>
        <v>0</v>
      </c>
      <c r="H129" s="443"/>
      <c r="I129" s="443"/>
      <c r="J129" s="443"/>
      <c r="K129" s="443"/>
      <c r="L129" s="443"/>
      <c r="M129" s="443"/>
      <c r="N129" s="443"/>
      <c r="O129" s="443"/>
      <c r="P129" s="443"/>
      <c r="Q129" s="443"/>
      <c r="R129" s="443"/>
    </row>
    <row r="130" spans="1:18" ht="15" customHeight="1">
      <c r="A130" s="361" t="str">
        <f>'Verlopen Recht-Rond'!L129</f>
        <v>None</v>
      </c>
      <c r="B130" s="348" t="str">
        <f>'Verlopen Recht-Rond'!D134</f>
        <v>-RctRR----0-0-0-0-----Options None</v>
      </c>
      <c r="C130" s="297">
        <f>'Verlopen Recht-Rond'!C135</f>
        <v>0</v>
      </c>
      <c r="D130" s="297">
        <f>'Verlopen Recht-Rond'!W135*'Verlopen Recht-Rond'!C135</f>
        <v>0</v>
      </c>
      <c r="E130" s="350">
        <f>'Verlopen Recht-Rond'!AA135</f>
        <v>0</v>
      </c>
      <c r="H130" s="443"/>
      <c r="I130" s="443"/>
      <c r="J130" s="443"/>
      <c r="K130" s="443"/>
      <c r="L130" s="443"/>
      <c r="M130" s="443"/>
      <c r="N130" s="443"/>
      <c r="O130" s="443"/>
      <c r="P130" s="443"/>
      <c r="Q130" s="443"/>
      <c r="R130" s="443"/>
    </row>
    <row r="131" spans="1:18" ht="15" customHeight="1">
      <c r="A131" s="361" t="str">
        <f>'Verlopen Recht-Rond'!L133</f>
        <v>None</v>
      </c>
      <c r="B131" s="348" t="str">
        <f>'Verlopen Recht-Rond'!D138</f>
        <v>-RctRR----0-0-0-0-----Options None</v>
      </c>
      <c r="C131" s="297">
        <f>'Verlopen Recht-Rond'!C139</f>
        <v>0</v>
      </c>
      <c r="D131" s="297">
        <f>'Verlopen Recht-Rond'!W139*'Verlopen Recht-Rond'!C139</f>
        <v>0</v>
      </c>
      <c r="E131" s="350">
        <f>'Verlopen Recht-Rond'!AA139</f>
        <v>0</v>
      </c>
      <c r="H131" s="443"/>
      <c r="I131" s="443"/>
      <c r="J131" s="443"/>
      <c r="K131" s="443"/>
      <c r="L131" s="443"/>
      <c r="M131" s="443"/>
      <c r="N131" s="443"/>
      <c r="O131" s="443"/>
      <c r="P131" s="443"/>
      <c r="Q131" s="443"/>
      <c r="R131" s="443"/>
    </row>
    <row r="132" spans="1:18" ht="15" customHeight="1" thickBot="1">
      <c r="A132" s="362" t="str">
        <f>'Verlopen Recht-Rond'!L137</f>
        <v>None</v>
      </c>
      <c r="B132" s="349" t="str">
        <f>'Verlopen Recht-Rond'!D142</f>
        <v>-RctRR----0-0-0-0-----Options None</v>
      </c>
      <c r="C132" s="298">
        <f>'Verlopen Recht-Rond'!C143</f>
        <v>0</v>
      </c>
      <c r="D132" s="298">
        <f>'Verlopen Recht-Rond'!W143*'Verlopen Recht-Rond'!C143</f>
        <v>0</v>
      </c>
      <c r="E132" s="351">
        <f>'Verlopen Recht-Rond'!AA143</f>
        <v>0</v>
      </c>
      <c r="H132" s="443"/>
      <c r="I132" s="443"/>
      <c r="J132" s="443"/>
      <c r="K132" s="443"/>
      <c r="L132" s="443"/>
      <c r="M132" s="443"/>
      <c r="N132" s="443"/>
      <c r="O132" s="443"/>
      <c r="P132" s="443"/>
      <c r="Q132" s="443"/>
      <c r="R132" s="443"/>
    </row>
    <row r="133" spans="1:18" ht="15" customHeight="1">
      <c r="A133" s="360" t="str">
        <f>informatieblad!D16</f>
        <v>T-stukken  (RctT)</v>
      </c>
      <c r="B133" s="364"/>
      <c r="C133" s="296"/>
      <c r="D133" s="296"/>
      <c r="E133" s="365"/>
      <c r="H133" s="443"/>
      <c r="I133" s="443"/>
      <c r="J133" s="443"/>
      <c r="K133" s="443"/>
      <c r="L133" s="443"/>
      <c r="M133" s="443"/>
      <c r="N133" s="443"/>
      <c r="O133" s="443"/>
      <c r="P133" s="443"/>
      <c r="Q133" s="443"/>
      <c r="R133" s="443"/>
    </row>
    <row r="134" spans="1:18" ht="15" customHeight="1">
      <c r="A134" s="361" t="str">
        <f>'T-stukken'!J21</f>
        <v>None</v>
      </c>
      <c r="B134" s="348" t="str">
        <f>'T-stukken'!E22</f>
        <v>-RctT--0---0-0-0-0----Options None</v>
      </c>
      <c r="C134" s="297">
        <f>'T-stukken'!C23</f>
        <v>0</v>
      </c>
      <c r="D134" s="297">
        <f>'T-stukken'!U23*'T-stukken'!C23</f>
        <v>0</v>
      </c>
      <c r="E134" s="350">
        <f>'T-stukken'!Y23</f>
        <v>0</v>
      </c>
      <c r="H134" s="443"/>
      <c r="I134" s="443"/>
      <c r="J134" s="443"/>
      <c r="K134" s="443"/>
      <c r="L134" s="443"/>
      <c r="M134" s="443"/>
      <c r="N134" s="443"/>
      <c r="O134" s="443"/>
      <c r="P134" s="443"/>
      <c r="Q134" s="443"/>
      <c r="R134" s="443"/>
    </row>
    <row r="135" spans="1:18" ht="15" customHeight="1">
      <c r="A135" s="361" t="str">
        <f>'T-stukken'!J25</f>
        <v>None</v>
      </c>
      <c r="B135" s="348" t="str">
        <f>'T-stukken'!E26</f>
        <v>-RctT--0---0-0-0-0----Options None</v>
      </c>
      <c r="C135" s="297">
        <f>'T-stukken'!C27</f>
        <v>0</v>
      </c>
      <c r="D135" s="297">
        <f>'T-stukken'!U27*'T-stukken'!C27</f>
        <v>0</v>
      </c>
      <c r="E135" s="350">
        <f>'T-stukken'!Y27</f>
        <v>0</v>
      </c>
      <c r="H135" s="443"/>
      <c r="I135" s="443"/>
      <c r="J135" s="443"/>
      <c r="K135" s="443"/>
      <c r="L135" s="443"/>
      <c r="M135" s="443"/>
      <c r="N135" s="443"/>
      <c r="O135" s="443"/>
      <c r="P135" s="443"/>
      <c r="Q135" s="443"/>
      <c r="R135" s="443"/>
    </row>
    <row r="136" spans="1:18" ht="15" customHeight="1">
      <c r="A136" s="361" t="str">
        <f>'T-stukken'!J29</f>
        <v>None</v>
      </c>
      <c r="B136" s="348" t="str">
        <f>'T-stukken'!E30</f>
        <v>-RctT--0---0-0-0-0----Options None</v>
      </c>
      <c r="C136" s="297">
        <f>'T-stukken'!C31</f>
        <v>0</v>
      </c>
      <c r="D136" s="297">
        <f>'T-stukken'!U31*'T-stukken'!C31</f>
        <v>0</v>
      </c>
      <c r="E136" s="350">
        <f>'T-stukken'!Y31</f>
        <v>0</v>
      </c>
      <c r="H136" s="443"/>
      <c r="I136" s="443"/>
      <c r="J136" s="443"/>
      <c r="K136" s="443"/>
      <c r="L136" s="443"/>
      <c r="M136" s="443"/>
      <c r="N136" s="443"/>
      <c r="O136" s="443"/>
      <c r="P136" s="443"/>
      <c r="Q136" s="443"/>
      <c r="R136" s="443"/>
    </row>
    <row r="137" spans="1:18" ht="15" customHeight="1">
      <c r="A137" s="361" t="str">
        <f>'T-stukken'!J33</f>
        <v>None</v>
      </c>
      <c r="B137" s="348" t="str">
        <f>'T-stukken'!E34</f>
        <v>-RctT--0---0-0-0-0----Options None</v>
      </c>
      <c r="C137" s="297">
        <f>'T-stukken'!C35</f>
        <v>0</v>
      </c>
      <c r="D137" s="297">
        <f>'T-stukken'!U35*'T-stukken'!C35</f>
        <v>0</v>
      </c>
      <c r="E137" s="350">
        <f>'T-stukken'!Y35</f>
        <v>0</v>
      </c>
      <c r="H137" s="443"/>
      <c r="I137" s="443"/>
      <c r="J137" s="443"/>
      <c r="K137" s="443"/>
      <c r="L137" s="443"/>
      <c r="M137" s="443"/>
      <c r="N137" s="443"/>
      <c r="O137" s="443"/>
      <c r="P137" s="443"/>
      <c r="Q137" s="443"/>
      <c r="R137" s="443"/>
    </row>
    <row r="138" spans="1:18" ht="15" customHeight="1">
      <c r="A138" s="361" t="str">
        <f>'T-stukken'!J37</f>
        <v>None</v>
      </c>
      <c r="B138" s="348" t="str">
        <f>'T-stukken'!E38</f>
        <v>-RctT--0---0-0-0-0----Options None</v>
      </c>
      <c r="C138" s="297">
        <f>'T-stukken'!C39</f>
        <v>0</v>
      </c>
      <c r="D138" s="297">
        <f>'T-stukken'!U39*'T-stukken'!C39</f>
        <v>0</v>
      </c>
      <c r="E138" s="350">
        <f>'T-stukken'!Y39</f>
        <v>0</v>
      </c>
      <c r="H138" s="443"/>
      <c r="I138" s="443"/>
      <c r="J138" s="443"/>
      <c r="K138" s="443"/>
      <c r="L138" s="443"/>
      <c r="M138" s="443"/>
      <c r="N138" s="443"/>
      <c r="O138" s="443"/>
      <c r="P138" s="443"/>
      <c r="Q138" s="443"/>
      <c r="R138" s="443"/>
    </row>
    <row r="139" spans="1:18" ht="15" customHeight="1">
      <c r="A139" s="361" t="str">
        <f>'T-stukken'!J41</f>
        <v>None</v>
      </c>
      <c r="B139" s="348" t="str">
        <f>'T-stukken'!E42</f>
        <v>-RctT--0---0-0-0-0----Options None</v>
      </c>
      <c r="C139" s="297">
        <f>'T-stukken'!C43</f>
        <v>0</v>
      </c>
      <c r="D139" s="297">
        <f>'T-stukken'!U43*'T-stukken'!C43</f>
        <v>0</v>
      </c>
      <c r="E139" s="350">
        <f>'T-stukken'!Y43</f>
        <v>0</v>
      </c>
      <c r="H139" s="443"/>
      <c r="I139" s="443"/>
      <c r="J139" s="443"/>
      <c r="K139" s="443"/>
      <c r="L139" s="443"/>
      <c r="M139" s="443"/>
      <c r="N139" s="443"/>
      <c r="O139" s="443"/>
      <c r="P139" s="443"/>
      <c r="Q139" s="443"/>
      <c r="R139" s="443"/>
    </row>
    <row r="140" spans="1:18" ht="15" customHeight="1">
      <c r="A140" s="361" t="str">
        <f>'T-stukken'!J45</f>
        <v>None</v>
      </c>
      <c r="B140" s="348" t="str">
        <f>'T-stukken'!E46</f>
        <v>-RctT--0---0-0-0-0----Options None</v>
      </c>
      <c r="C140" s="297">
        <f>'T-stukken'!C47</f>
        <v>0</v>
      </c>
      <c r="D140" s="297">
        <f>'T-stukken'!U47*'T-stukken'!C47</f>
        <v>0</v>
      </c>
      <c r="E140" s="350">
        <f>'T-stukken'!Y47</f>
        <v>0</v>
      </c>
      <c r="H140" s="443"/>
      <c r="I140" s="443"/>
      <c r="J140" s="443"/>
      <c r="K140" s="443"/>
      <c r="L140" s="443"/>
      <c r="M140" s="443"/>
      <c r="N140" s="443"/>
      <c r="O140" s="443"/>
      <c r="P140" s="443"/>
      <c r="Q140" s="443"/>
      <c r="R140" s="443"/>
    </row>
    <row r="141" spans="1:18" ht="15" customHeight="1">
      <c r="A141" s="361" t="str">
        <f>'T-stukken'!J49</f>
        <v>None</v>
      </c>
      <c r="B141" s="348" t="str">
        <f>'T-stukken'!E50</f>
        <v>-RctT--0---0-0-0-0----Options None</v>
      </c>
      <c r="C141" s="297">
        <f>'T-stukken'!C51</f>
        <v>0</v>
      </c>
      <c r="D141" s="297">
        <f>'T-stukken'!U51*'T-stukken'!C51</f>
        <v>0</v>
      </c>
      <c r="E141" s="350">
        <f>'T-stukken'!Y51</f>
        <v>0</v>
      </c>
      <c r="H141" s="443"/>
      <c r="I141" s="443"/>
      <c r="J141" s="443"/>
      <c r="K141" s="443"/>
      <c r="L141" s="443"/>
      <c r="M141" s="443"/>
      <c r="N141" s="443"/>
      <c r="O141" s="443"/>
      <c r="P141" s="443"/>
      <c r="Q141" s="443"/>
      <c r="R141" s="443"/>
    </row>
    <row r="142" spans="1:18" ht="15" customHeight="1">
      <c r="A142" s="361" t="str">
        <f>'T-stukken'!J53</f>
        <v>None</v>
      </c>
      <c r="B142" s="348" t="str">
        <f>'T-stukken'!E54</f>
        <v>-RctT--0---0-0-0-0----Options None</v>
      </c>
      <c r="C142" s="297">
        <f>'T-stukken'!C555</f>
        <v>0</v>
      </c>
      <c r="D142" s="297">
        <f>'T-stukken'!U55*'T-stukken'!C55</f>
        <v>0</v>
      </c>
      <c r="E142" s="350">
        <f>'T-stukken'!Y55</f>
        <v>0</v>
      </c>
      <c r="H142" s="443"/>
      <c r="I142" s="443"/>
      <c r="J142" s="443"/>
      <c r="K142" s="443"/>
      <c r="L142" s="443"/>
      <c r="M142" s="443"/>
      <c r="N142" s="443"/>
      <c r="O142" s="443"/>
      <c r="P142" s="443"/>
      <c r="Q142" s="443"/>
      <c r="R142" s="443"/>
    </row>
    <row r="143" spans="1:18" ht="15" customHeight="1">
      <c r="A143" s="361" t="str">
        <f>'T-stukken'!J57</f>
        <v>None</v>
      </c>
      <c r="B143" s="348" t="str">
        <f>'T-stukken'!E58</f>
        <v>-RctT--0---0-0-0-0----Options None</v>
      </c>
      <c r="C143" s="297">
        <f>'T-stukken'!C59</f>
        <v>0</v>
      </c>
      <c r="D143" s="297">
        <f>'T-stukken'!U59*'T-stukken'!C59</f>
        <v>0</v>
      </c>
      <c r="E143" s="350">
        <f>'T-stukken'!Y59</f>
        <v>0</v>
      </c>
      <c r="H143" s="443"/>
      <c r="I143" s="443"/>
      <c r="J143" s="443"/>
      <c r="K143" s="443"/>
      <c r="L143" s="443"/>
      <c r="M143" s="443"/>
      <c r="N143" s="443"/>
      <c r="O143" s="443"/>
      <c r="P143" s="443"/>
      <c r="Q143" s="443"/>
      <c r="R143" s="443"/>
    </row>
    <row r="144" spans="1:18" ht="15" customHeight="1">
      <c r="A144" s="361" t="str">
        <f>'T-stukken'!J61</f>
        <v>None</v>
      </c>
      <c r="B144" s="348" t="str">
        <f>'T-stukken'!E62</f>
        <v>-RctT--0---0-0-0-0----Options None</v>
      </c>
      <c r="C144" s="297">
        <f>'T-stukken'!C63</f>
        <v>0</v>
      </c>
      <c r="D144" s="297">
        <f>'T-stukken'!U63*'T-stukken'!C63</f>
        <v>0</v>
      </c>
      <c r="E144" s="350">
        <f>'T-stukken'!Y63</f>
        <v>0</v>
      </c>
      <c r="H144" s="443"/>
      <c r="I144" s="443"/>
      <c r="J144" s="443"/>
      <c r="K144" s="443"/>
      <c r="L144" s="443"/>
      <c r="M144" s="443"/>
      <c r="N144" s="443"/>
      <c r="O144" s="443"/>
      <c r="P144" s="443"/>
      <c r="Q144" s="443"/>
      <c r="R144" s="443"/>
    </row>
    <row r="145" spans="1:18" ht="15" customHeight="1">
      <c r="A145" s="361" t="str">
        <f>'T-stukken'!J65</f>
        <v>None</v>
      </c>
      <c r="B145" s="348" t="str">
        <f>'T-stukken'!E66</f>
        <v>-RctT--0---0-0-0-0----Options None</v>
      </c>
      <c r="C145" s="297">
        <f>'T-stukken'!C67</f>
        <v>0</v>
      </c>
      <c r="D145" s="297">
        <f>'T-stukken'!U67*'T-stukken'!C67</f>
        <v>0</v>
      </c>
      <c r="E145" s="350">
        <f>'T-stukken'!Y67</f>
        <v>0</v>
      </c>
      <c r="H145" s="443"/>
      <c r="I145" s="443"/>
      <c r="J145" s="443"/>
      <c r="K145" s="443"/>
      <c r="L145" s="443"/>
      <c r="M145" s="443"/>
      <c r="N145" s="443"/>
      <c r="O145" s="443"/>
      <c r="P145" s="443"/>
      <c r="Q145" s="443"/>
      <c r="R145" s="443"/>
    </row>
    <row r="146" spans="1:18" ht="15" customHeight="1">
      <c r="A146" s="361" t="str">
        <f>'T-stukken'!J69</f>
        <v>None</v>
      </c>
      <c r="B146" s="348" t="str">
        <f>'T-stukken'!E70</f>
        <v>-RctT--0---0-0-0-0----Options None</v>
      </c>
      <c r="C146" s="297">
        <f>'T-stukken'!C71</f>
        <v>0</v>
      </c>
      <c r="D146" s="297">
        <f>'T-stukken'!U71*'T-stukken'!C71</f>
        <v>0</v>
      </c>
      <c r="E146" s="350">
        <f>'T-stukken'!Y71</f>
        <v>0</v>
      </c>
      <c r="H146" s="443"/>
      <c r="I146" s="443"/>
      <c r="J146" s="443"/>
      <c r="K146" s="443"/>
      <c r="L146" s="443"/>
      <c r="M146" s="443"/>
      <c r="N146" s="443"/>
      <c r="O146" s="443"/>
      <c r="P146" s="443"/>
      <c r="Q146" s="443"/>
      <c r="R146" s="443"/>
    </row>
    <row r="147" spans="1:18" ht="15" customHeight="1">
      <c r="A147" s="361" t="str">
        <f>'T-stukken'!J73</f>
        <v>None</v>
      </c>
      <c r="B147" s="348" t="str">
        <f>'T-stukken'!E74</f>
        <v>-RctT--0---0-0-0-0----Options None</v>
      </c>
      <c r="C147" s="297">
        <f>'T-stukken'!C75</f>
        <v>0</v>
      </c>
      <c r="D147" s="297">
        <f>'T-stukken'!U75*'T-stukken'!C75</f>
        <v>0</v>
      </c>
      <c r="E147" s="350">
        <f>'T-stukken'!Y75</f>
        <v>0</v>
      </c>
      <c r="H147" s="443"/>
      <c r="I147" s="443"/>
      <c r="J147" s="443"/>
      <c r="K147" s="443"/>
      <c r="L147" s="443"/>
      <c r="M147" s="443"/>
      <c r="N147" s="443"/>
      <c r="O147" s="443"/>
      <c r="P147" s="443"/>
      <c r="Q147" s="443"/>
      <c r="R147" s="443"/>
    </row>
    <row r="148" spans="1:18" ht="15" customHeight="1">
      <c r="A148" s="361" t="str">
        <f>'T-stukken'!J77</f>
        <v>None</v>
      </c>
      <c r="B148" s="348" t="str">
        <f>'T-stukken'!E78</f>
        <v>-RctT--0---0-0-0-0----Options None</v>
      </c>
      <c r="C148" s="297">
        <f>'T-stukken'!C79</f>
        <v>0</v>
      </c>
      <c r="D148" s="297">
        <f>'T-stukken'!U79*'T-stukken'!C79</f>
        <v>0</v>
      </c>
      <c r="E148" s="350">
        <f>'T-stukken'!Y79</f>
        <v>0</v>
      </c>
      <c r="H148" s="443"/>
      <c r="I148" s="443"/>
      <c r="J148" s="443"/>
      <c r="K148" s="443"/>
      <c r="L148" s="443"/>
      <c r="M148" s="443"/>
      <c r="N148" s="443"/>
      <c r="O148" s="443"/>
      <c r="P148" s="443"/>
      <c r="Q148" s="443"/>
      <c r="R148" s="443"/>
    </row>
    <row r="149" spans="1:18" ht="15" customHeight="1">
      <c r="A149" s="361" t="str">
        <f>'T-stukken'!J81</f>
        <v>None</v>
      </c>
      <c r="B149" s="348" t="str">
        <f>'T-stukken'!E82</f>
        <v>-RctT--0---0-0-0-0----Options None</v>
      </c>
      <c r="C149" s="297">
        <f>'T-stukken'!C83</f>
        <v>0</v>
      </c>
      <c r="D149" s="297">
        <f>'T-stukken'!U83*'T-stukken'!C83</f>
        <v>0</v>
      </c>
      <c r="E149" s="350">
        <f>'T-stukken'!Y83</f>
        <v>0</v>
      </c>
      <c r="H149" s="443"/>
      <c r="I149" s="443"/>
      <c r="J149" s="443"/>
      <c r="K149" s="443"/>
      <c r="L149" s="443"/>
      <c r="M149" s="443"/>
      <c r="N149" s="443"/>
      <c r="O149" s="443"/>
      <c r="P149" s="443"/>
      <c r="Q149" s="443"/>
      <c r="R149" s="443"/>
    </row>
    <row r="150" spans="1:18" ht="15" customHeight="1">
      <c r="A150" s="361" t="str">
        <f>'T-stukken'!J85</f>
        <v>None</v>
      </c>
      <c r="B150" s="348" t="str">
        <f>'T-stukken'!E86</f>
        <v>-RctT--0---0-0-0-0----Options None</v>
      </c>
      <c r="C150" s="297">
        <f>'T-stukken'!C87</f>
        <v>0</v>
      </c>
      <c r="D150" s="297">
        <f>'T-stukken'!U87*'T-stukken'!C87</f>
        <v>0</v>
      </c>
      <c r="E150" s="350">
        <f>'T-stukken'!Y87</f>
        <v>0</v>
      </c>
      <c r="H150" s="443"/>
      <c r="I150" s="443"/>
      <c r="J150" s="443"/>
      <c r="K150" s="443"/>
      <c r="L150" s="443"/>
      <c r="M150" s="443"/>
      <c r="N150" s="443"/>
      <c r="O150" s="443"/>
      <c r="P150" s="443"/>
      <c r="Q150" s="443"/>
      <c r="R150" s="443"/>
    </row>
    <row r="151" spans="1:18" ht="15" customHeight="1">
      <c r="A151" s="361" t="str">
        <f>'T-stukken'!J89</f>
        <v>None</v>
      </c>
      <c r="B151" s="348" t="str">
        <f>'T-stukken'!E90</f>
        <v>-RctT--0---0-0-0-0----Options None</v>
      </c>
      <c r="C151" s="297">
        <f>'T-stukken'!C91</f>
        <v>0</v>
      </c>
      <c r="D151" s="297">
        <f>'T-stukken'!U91*'T-stukken'!C91</f>
        <v>0</v>
      </c>
      <c r="E151" s="350">
        <f>'T-stukken'!Y91</f>
        <v>0</v>
      </c>
      <c r="H151" s="443"/>
      <c r="I151" s="443"/>
      <c r="J151" s="443"/>
      <c r="K151" s="443"/>
      <c r="L151" s="443"/>
      <c r="M151" s="443"/>
      <c r="N151" s="443"/>
      <c r="O151" s="443"/>
      <c r="P151" s="443"/>
      <c r="Q151" s="443"/>
      <c r="R151" s="443"/>
    </row>
    <row r="152" spans="1:18" ht="15" customHeight="1">
      <c r="A152" s="361" t="str">
        <f>'T-stukken'!J93</f>
        <v>None</v>
      </c>
      <c r="B152" s="348" t="str">
        <f>'T-stukken'!E94</f>
        <v>-RctT--0---0-0-0-0----Options None</v>
      </c>
      <c r="C152" s="297">
        <f>'T-stukken'!C95</f>
        <v>0</v>
      </c>
      <c r="D152" s="297">
        <f>'T-stukken'!U95*'T-stukken'!C95</f>
        <v>0</v>
      </c>
      <c r="E152" s="350">
        <f>'T-stukken'!Y95</f>
        <v>0</v>
      </c>
      <c r="H152" s="443"/>
      <c r="I152" s="443"/>
      <c r="J152" s="443"/>
      <c r="K152" s="443"/>
      <c r="L152" s="443"/>
      <c r="M152" s="443"/>
      <c r="N152" s="443"/>
      <c r="O152" s="443"/>
      <c r="P152" s="443"/>
      <c r="Q152" s="443"/>
      <c r="R152" s="443"/>
    </row>
    <row r="153" spans="1:18" ht="15" customHeight="1">
      <c r="A153" s="361" t="str">
        <f>'T-stukken'!J97</f>
        <v>None</v>
      </c>
      <c r="B153" s="348" t="str">
        <f>'T-stukken'!E98</f>
        <v>-RctT--0---0-0-0-0----Options None</v>
      </c>
      <c r="C153" s="297">
        <f>'T-stukken'!C99</f>
        <v>0</v>
      </c>
      <c r="D153" s="297">
        <f>'T-stukken'!U99*'T-stukken'!C99</f>
        <v>0</v>
      </c>
      <c r="E153" s="350">
        <f>'T-stukken'!Y99</f>
        <v>0</v>
      </c>
      <c r="H153" s="443"/>
      <c r="I153" s="443"/>
      <c r="J153" s="443"/>
      <c r="K153" s="443"/>
      <c r="L153" s="443"/>
      <c r="M153" s="443"/>
      <c r="N153" s="443"/>
      <c r="O153" s="443"/>
      <c r="P153" s="443"/>
      <c r="Q153" s="443"/>
      <c r="R153" s="443"/>
    </row>
    <row r="154" spans="1:18" ht="15" customHeight="1">
      <c r="A154" s="361" t="str">
        <f>'T-stukken'!J101</f>
        <v>None</v>
      </c>
      <c r="B154" s="348" t="str">
        <f>'T-stukken'!E102</f>
        <v>-RctT--0---0-0-0-0----Options None</v>
      </c>
      <c r="C154" s="297">
        <f>'T-stukken'!C103</f>
        <v>0</v>
      </c>
      <c r="D154" s="297">
        <f>'T-stukken'!U103*'T-stukken'!C103</f>
        <v>0</v>
      </c>
      <c r="E154" s="350">
        <f>'T-stukken'!Y103</f>
        <v>0</v>
      </c>
      <c r="H154" s="443"/>
      <c r="I154" s="443"/>
      <c r="J154" s="443"/>
      <c r="K154" s="443"/>
      <c r="L154" s="443"/>
      <c r="M154" s="443"/>
      <c r="N154" s="443"/>
      <c r="O154" s="443"/>
      <c r="P154" s="443"/>
      <c r="Q154" s="443"/>
      <c r="R154" s="443"/>
    </row>
    <row r="155" spans="1:18" ht="15" customHeight="1">
      <c r="A155" s="361" t="str">
        <f>'T-stukken'!J105</f>
        <v>None</v>
      </c>
      <c r="B155" s="348" t="str">
        <f>'T-stukken'!E106</f>
        <v>-RctT--0---0-0-0-0----Options None</v>
      </c>
      <c r="C155" s="297">
        <f>'T-stukken'!C107</f>
        <v>0</v>
      </c>
      <c r="D155" s="297">
        <f>'T-stukken'!U107*'T-stukken'!C107</f>
        <v>0</v>
      </c>
      <c r="E155" s="350">
        <f>'T-stukken'!Y107</f>
        <v>0</v>
      </c>
      <c r="H155" s="443"/>
      <c r="I155" s="443"/>
      <c r="J155" s="443"/>
      <c r="K155" s="443"/>
      <c r="L155" s="443"/>
      <c r="M155" s="443"/>
      <c r="N155" s="443"/>
      <c r="O155" s="443"/>
      <c r="P155" s="443"/>
      <c r="Q155" s="443"/>
      <c r="R155" s="443"/>
    </row>
    <row r="156" spans="1:18" ht="15" customHeight="1">
      <c r="A156" s="361" t="str">
        <f>'T-stukken'!J109</f>
        <v>None</v>
      </c>
      <c r="B156" s="348" t="str">
        <f>'T-stukken'!E110</f>
        <v>-RctT--0---0-0-0-0----Options None</v>
      </c>
      <c r="C156" s="297">
        <f>'T-stukken'!C111</f>
        <v>0</v>
      </c>
      <c r="D156" s="297">
        <f>'T-stukken'!U111*'T-stukken'!C111</f>
        <v>0</v>
      </c>
      <c r="E156" s="350">
        <f>'T-stukken'!Y111</f>
        <v>0</v>
      </c>
      <c r="H156" s="443"/>
      <c r="I156" s="443"/>
      <c r="J156" s="443"/>
      <c r="K156" s="443"/>
      <c r="L156" s="443"/>
      <c r="M156" s="443"/>
      <c r="N156" s="443"/>
      <c r="O156" s="443"/>
      <c r="P156" s="443"/>
      <c r="Q156" s="443"/>
      <c r="R156" s="443"/>
    </row>
    <row r="157" spans="1:18" ht="15" customHeight="1">
      <c r="A157" s="361" t="str">
        <f>'T-stukken'!J113</f>
        <v>None</v>
      </c>
      <c r="B157" s="348" t="str">
        <f>'T-stukken'!E114</f>
        <v>-RctT--0---0-0-0-0----Options None</v>
      </c>
      <c r="C157" s="297">
        <f>'T-stukken'!C115</f>
        <v>0</v>
      </c>
      <c r="D157" s="297">
        <f>'T-stukken'!U115*'T-stukken'!C115</f>
        <v>0</v>
      </c>
      <c r="E157" s="350">
        <f>'T-stukken'!Y115</f>
        <v>0</v>
      </c>
      <c r="H157" s="443"/>
      <c r="I157" s="443"/>
      <c r="J157" s="443"/>
      <c r="K157" s="443"/>
      <c r="L157" s="443"/>
      <c r="M157" s="443"/>
      <c r="N157" s="443"/>
      <c r="O157" s="443"/>
      <c r="P157" s="443"/>
      <c r="Q157" s="443"/>
      <c r="R157" s="443"/>
    </row>
    <row r="158" spans="1:18" ht="15" customHeight="1">
      <c r="A158" s="361" t="str">
        <f>'T-stukken'!J117</f>
        <v>None</v>
      </c>
      <c r="B158" s="348" t="str">
        <f>'T-stukken'!E118</f>
        <v>-RctT--0---0-0-0-0----Options None</v>
      </c>
      <c r="C158" s="297">
        <f>'T-stukken'!C119</f>
        <v>0</v>
      </c>
      <c r="D158" s="297">
        <f>'T-stukken'!U119*'T-stukken'!C119</f>
        <v>0</v>
      </c>
      <c r="E158" s="350">
        <f>'T-stukken'!Y119</f>
        <v>0</v>
      </c>
      <c r="H158" s="443"/>
      <c r="I158" s="443"/>
      <c r="J158" s="443"/>
      <c r="K158" s="443"/>
      <c r="L158" s="443"/>
      <c r="M158" s="443"/>
      <c r="N158" s="443"/>
      <c r="O158" s="443"/>
      <c r="P158" s="443"/>
      <c r="Q158" s="443"/>
      <c r="R158" s="443"/>
    </row>
    <row r="159" spans="1:18" ht="15" customHeight="1">
      <c r="A159" s="361" t="str">
        <f>'T-stukken'!J121</f>
        <v>None</v>
      </c>
      <c r="B159" s="348" t="str">
        <f>'T-stukken'!E122</f>
        <v>-RctT--0---0-0-0-0----Options None</v>
      </c>
      <c r="C159" s="297">
        <f>'T-stukken'!C123</f>
        <v>0</v>
      </c>
      <c r="D159" s="297">
        <f>'T-stukken'!U123*'T-stukken'!C123</f>
        <v>0</v>
      </c>
      <c r="E159" s="350">
        <f>'T-stukken'!Y123</f>
        <v>0</v>
      </c>
      <c r="H159" s="443"/>
      <c r="I159" s="443"/>
      <c r="J159" s="443"/>
      <c r="K159" s="443"/>
      <c r="L159" s="443"/>
      <c r="M159" s="443"/>
      <c r="N159" s="443"/>
      <c r="O159" s="443"/>
      <c r="P159" s="443"/>
      <c r="Q159" s="443"/>
      <c r="R159" s="443"/>
    </row>
    <row r="160" spans="1:18" ht="15" customHeight="1">
      <c r="A160" s="361" t="str">
        <f>'T-stukken'!J125</f>
        <v>None</v>
      </c>
      <c r="B160" s="348" t="str">
        <f>'T-stukken'!E126</f>
        <v>-RctT--0---0-0-0-0----Options None</v>
      </c>
      <c r="C160" s="297">
        <f>'T-stukken'!C127</f>
        <v>0</v>
      </c>
      <c r="D160" s="297">
        <f>'T-stukken'!U127*'T-stukken'!C127</f>
        <v>0</v>
      </c>
      <c r="E160" s="350">
        <f>'T-stukken'!Y127</f>
        <v>0</v>
      </c>
      <c r="H160" s="443"/>
      <c r="I160" s="443"/>
      <c r="J160" s="443"/>
      <c r="K160" s="443"/>
      <c r="L160" s="443"/>
      <c r="M160" s="443"/>
      <c r="N160" s="443"/>
      <c r="O160" s="443"/>
      <c r="P160" s="443"/>
      <c r="Q160" s="443"/>
      <c r="R160" s="443"/>
    </row>
    <row r="161" spans="1:18" ht="15" customHeight="1">
      <c r="A161" s="361" t="str">
        <f>'T-stukken'!J129</f>
        <v>None</v>
      </c>
      <c r="B161" s="348" t="str">
        <f>'T-stukken'!E130</f>
        <v>-RctT--0---0-0-0-0----Options None</v>
      </c>
      <c r="C161" s="297">
        <f>'T-stukken'!C131</f>
        <v>0</v>
      </c>
      <c r="D161" s="297">
        <f>'T-stukken'!U131*'T-stukken'!C131</f>
        <v>0</v>
      </c>
      <c r="E161" s="350">
        <f>'T-stukken'!Y131</f>
        <v>0</v>
      </c>
      <c r="H161" s="443"/>
      <c r="I161" s="443"/>
      <c r="J161" s="443"/>
      <c r="K161" s="443"/>
      <c r="L161" s="443"/>
      <c r="M161" s="443"/>
      <c r="N161" s="443"/>
      <c r="O161" s="443"/>
      <c r="P161" s="443"/>
      <c r="Q161" s="443"/>
      <c r="R161" s="443"/>
    </row>
    <row r="162" spans="1:18" ht="15" customHeight="1">
      <c r="A162" s="361" t="str">
        <f>'T-stukken'!J133</f>
        <v>None</v>
      </c>
      <c r="B162" s="348" t="str">
        <f>'T-stukken'!E134</f>
        <v>-RctT--0---0-0-0-0----Options None</v>
      </c>
      <c r="C162" s="297">
        <f>'T-stukken'!C135</f>
        <v>0</v>
      </c>
      <c r="D162" s="297">
        <f>'T-stukken'!U135*'T-stukken'!C135</f>
        <v>0</v>
      </c>
      <c r="E162" s="350">
        <f>'T-stukken'!Y135</f>
        <v>0</v>
      </c>
      <c r="H162" s="443"/>
      <c r="I162" s="443"/>
      <c r="J162" s="443"/>
      <c r="K162" s="443"/>
      <c r="L162" s="443"/>
      <c r="M162" s="443"/>
      <c r="N162" s="443"/>
      <c r="O162" s="443"/>
      <c r="P162" s="443"/>
      <c r="Q162" s="443"/>
      <c r="R162" s="443"/>
    </row>
    <row r="163" spans="1:18" ht="15" customHeight="1" thickBot="1">
      <c r="A163" s="362" t="str">
        <f>'T-stukken'!J137</f>
        <v>None</v>
      </c>
      <c r="B163" s="349" t="str">
        <f>'T-stukken'!E138</f>
        <v>-RctT--0---0-0-0-0----Options None</v>
      </c>
      <c r="C163" s="298">
        <f>'T-stukken'!C139</f>
        <v>0</v>
      </c>
      <c r="D163" s="298">
        <f>'T-stukken'!U139*'T-stukken'!C139</f>
        <v>0</v>
      </c>
      <c r="E163" s="351">
        <f>'T-stukken'!Y139</f>
        <v>0</v>
      </c>
      <c r="H163" s="443"/>
      <c r="I163" s="443"/>
      <c r="J163" s="443"/>
      <c r="K163" s="443"/>
      <c r="L163" s="443"/>
      <c r="M163" s="443"/>
      <c r="N163" s="443"/>
      <c r="O163" s="443"/>
      <c r="P163" s="443"/>
      <c r="Q163" s="443"/>
      <c r="R163" s="443"/>
    </row>
    <row r="164" spans="1:18" ht="15" customHeight="1">
      <c r="A164" s="360" t="str">
        <f>informatieblad!D17</f>
        <v>Deksels  (RctE)</v>
      </c>
      <c r="B164" s="364"/>
      <c r="C164" s="296"/>
      <c r="D164" s="296"/>
      <c r="E164" s="365"/>
      <c r="H164" s="443"/>
      <c r="I164" s="443"/>
      <c r="J164" s="443"/>
      <c r="K164" s="443"/>
      <c r="L164" s="443"/>
      <c r="M164" s="443"/>
      <c r="N164" s="443"/>
      <c r="O164" s="443"/>
      <c r="P164" s="443"/>
      <c r="Q164" s="443"/>
      <c r="R164" s="443"/>
    </row>
    <row r="165" spans="1:18" ht="15" customHeight="1">
      <c r="A165" s="361" t="str">
        <f>Deksels!J22</f>
        <v>None</v>
      </c>
      <c r="B165" s="348" t="str">
        <f>Deksels!F23</f>
        <v>-RctE---0--Options None</v>
      </c>
      <c r="C165" s="297">
        <f>Deksels!C24</f>
        <v>0</v>
      </c>
      <c r="D165" s="297">
        <f>Deksels!V24*Deksels!C24</f>
        <v>0</v>
      </c>
      <c r="E165" s="350">
        <f>Deksels!Z24</f>
        <v>0</v>
      </c>
      <c r="H165" s="443"/>
      <c r="I165" s="443"/>
      <c r="J165" s="443"/>
      <c r="K165" s="443"/>
      <c r="L165" s="443"/>
      <c r="M165" s="443"/>
      <c r="N165" s="443"/>
      <c r="O165" s="443"/>
      <c r="P165" s="443"/>
      <c r="Q165" s="443"/>
      <c r="R165" s="443"/>
    </row>
    <row r="166" spans="1:18" ht="15" customHeight="1">
      <c r="A166" s="361" t="str">
        <f>Deksels!J26</f>
        <v>None</v>
      </c>
      <c r="B166" s="348" t="str">
        <f>Deksels!F27</f>
        <v>-RctE---0--Options None</v>
      </c>
      <c r="C166" s="297">
        <f>Deksels!C28</f>
        <v>0</v>
      </c>
      <c r="D166" s="297">
        <f>Deksels!V28*Deksels!C28</f>
        <v>0</v>
      </c>
      <c r="E166" s="350">
        <f>Deksels!Z28</f>
        <v>0</v>
      </c>
      <c r="H166" s="443"/>
      <c r="I166" s="443"/>
      <c r="J166" s="443"/>
      <c r="K166" s="443"/>
      <c r="L166" s="443"/>
      <c r="M166" s="443"/>
      <c r="N166" s="443"/>
      <c r="O166" s="443"/>
      <c r="P166" s="443"/>
      <c r="Q166" s="443"/>
      <c r="R166" s="443"/>
    </row>
    <row r="167" spans="1:18" ht="15" customHeight="1">
      <c r="A167" s="361" t="str">
        <f>Deksels!J30</f>
        <v>None</v>
      </c>
      <c r="B167" s="348" t="str">
        <f>Deksels!F31</f>
        <v>-RctE---0--Options None</v>
      </c>
      <c r="C167" s="297">
        <f>Deksels!C32</f>
        <v>0</v>
      </c>
      <c r="D167" s="297">
        <f>Deksels!V32*Deksels!C32</f>
        <v>0</v>
      </c>
      <c r="E167" s="350">
        <f>Deksels!Z32</f>
        <v>0</v>
      </c>
      <c r="H167" s="443"/>
      <c r="I167" s="443"/>
      <c r="J167" s="443"/>
      <c r="K167" s="443"/>
      <c r="L167" s="443"/>
      <c r="M167" s="443"/>
      <c r="N167" s="443"/>
      <c r="O167" s="443"/>
      <c r="P167" s="443"/>
      <c r="Q167" s="443"/>
      <c r="R167" s="443"/>
    </row>
    <row r="168" spans="1:18" ht="15" customHeight="1">
      <c r="A168" s="361" t="str">
        <f>Deksels!J34</f>
        <v>None</v>
      </c>
      <c r="B168" s="348" t="str">
        <f>Deksels!F35</f>
        <v>-RctE---0--Options None</v>
      </c>
      <c r="C168" s="297">
        <f>Deksels!C36</f>
        <v>0</v>
      </c>
      <c r="D168" s="297">
        <f>Deksels!V36*Deksels!C36</f>
        <v>0</v>
      </c>
      <c r="E168" s="350">
        <f>Deksels!Z36</f>
        <v>0</v>
      </c>
      <c r="H168" s="443"/>
      <c r="I168" s="443"/>
      <c r="J168" s="443"/>
      <c r="K168" s="443"/>
      <c r="L168" s="443"/>
      <c r="M168" s="443"/>
      <c r="N168" s="443"/>
      <c r="O168" s="443"/>
      <c r="P168" s="443"/>
      <c r="Q168" s="443"/>
      <c r="R168" s="443"/>
    </row>
    <row r="169" spans="1:18" ht="15" customHeight="1">
      <c r="A169" s="361" t="str">
        <f>Deksels!J38</f>
        <v>None</v>
      </c>
      <c r="B169" s="348" t="str">
        <f>Deksels!F39</f>
        <v>-RctE---0--Options None</v>
      </c>
      <c r="C169" s="297">
        <f>Deksels!C40</f>
        <v>0</v>
      </c>
      <c r="D169" s="297">
        <f>Deksels!V40*Deksels!C40</f>
        <v>0</v>
      </c>
      <c r="E169" s="350">
        <f>Deksels!Z40</f>
        <v>0</v>
      </c>
      <c r="H169" s="443"/>
      <c r="I169" s="443"/>
      <c r="J169" s="443"/>
      <c r="K169" s="443"/>
      <c r="L169" s="443"/>
      <c r="M169" s="443"/>
      <c r="N169" s="443"/>
      <c r="O169" s="443"/>
      <c r="P169" s="443"/>
      <c r="Q169" s="443"/>
      <c r="R169" s="443"/>
    </row>
    <row r="170" spans="1:18" ht="15" customHeight="1">
      <c r="A170" s="361" t="str">
        <f>Deksels!J42</f>
        <v>None</v>
      </c>
      <c r="B170" s="348" t="str">
        <f>Deksels!F43</f>
        <v>-RctE---0--Options None</v>
      </c>
      <c r="C170" s="297">
        <f>Deksels!C44</f>
        <v>0</v>
      </c>
      <c r="D170" s="297">
        <f>Deksels!V44*Deksels!C44</f>
        <v>0</v>
      </c>
      <c r="E170" s="350">
        <f>Deksels!Z44</f>
        <v>0</v>
      </c>
      <c r="H170" s="443"/>
      <c r="I170" s="443"/>
      <c r="J170" s="443"/>
      <c r="K170" s="443"/>
      <c r="L170" s="443"/>
      <c r="M170" s="443"/>
      <c r="N170" s="443"/>
      <c r="O170" s="443"/>
      <c r="P170" s="443"/>
      <c r="Q170" s="443"/>
      <c r="R170" s="443"/>
    </row>
    <row r="171" spans="1:18" ht="15" customHeight="1">
      <c r="A171" s="361" t="str">
        <f>Deksels!J46</f>
        <v>None</v>
      </c>
      <c r="B171" s="348" t="str">
        <f>Deksels!F47</f>
        <v>-RctE---0--Options None</v>
      </c>
      <c r="C171" s="297">
        <f>Deksels!C48</f>
        <v>0</v>
      </c>
      <c r="D171" s="297">
        <f>Deksels!V48*Deksels!C48</f>
        <v>0</v>
      </c>
      <c r="E171" s="350">
        <f>Deksels!Z48</f>
        <v>0</v>
      </c>
      <c r="H171" s="443"/>
      <c r="I171" s="443"/>
      <c r="J171" s="443"/>
      <c r="K171" s="443"/>
      <c r="L171" s="443"/>
      <c r="M171" s="443"/>
      <c r="N171" s="443"/>
      <c r="O171" s="443"/>
      <c r="P171" s="443"/>
      <c r="Q171" s="443"/>
      <c r="R171" s="443"/>
    </row>
    <row r="172" spans="1:18" ht="15" customHeight="1">
      <c r="A172" s="361" t="str">
        <f>Deksels!J50</f>
        <v>None</v>
      </c>
      <c r="B172" s="348" t="str">
        <f>Deksels!F51</f>
        <v>-RctE---0--Options None</v>
      </c>
      <c r="C172" s="297">
        <f>Deksels!C52</f>
        <v>0</v>
      </c>
      <c r="D172" s="297">
        <f>Deksels!V52*Deksels!C52</f>
        <v>0</v>
      </c>
      <c r="E172" s="350">
        <f>Deksels!Z52</f>
        <v>0</v>
      </c>
      <c r="H172" s="443"/>
      <c r="I172" s="443"/>
      <c r="J172" s="443"/>
      <c r="K172" s="443"/>
      <c r="L172" s="443"/>
      <c r="M172" s="443"/>
      <c r="N172" s="443"/>
      <c r="O172" s="443"/>
      <c r="P172" s="443"/>
      <c r="Q172" s="443"/>
      <c r="R172" s="443"/>
    </row>
    <row r="173" spans="1:18" ht="15" customHeight="1">
      <c r="A173" s="361" t="str">
        <f>Deksels!J54</f>
        <v>None</v>
      </c>
      <c r="B173" s="348" t="str">
        <f>Deksels!F55</f>
        <v>-RctE---0--Options None</v>
      </c>
      <c r="C173" s="297">
        <f>Deksels!C56</f>
        <v>0</v>
      </c>
      <c r="D173" s="297">
        <f>Deksels!V56*Deksels!C56</f>
        <v>0</v>
      </c>
      <c r="E173" s="350">
        <f>Deksels!Z56</f>
        <v>0</v>
      </c>
      <c r="H173" s="443"/>
      <c r="I173" s="443"/>
      <c r="J173" s="443"/>
      <c r="K173" s="443"/>
      <c r="L173" s="443"/>
      <c r="M173" s="443"/>
      <c r="N173" s="443"/>
      <c r="O173" s="443"/>
      <c r="P173" s="443"/>
      <c r="Q173" s="443"/>
      <c r="R173" s="443"/>
    </row>
    <row r="174" spans="1:18" ht="15" customHeight="1">
      <c r="A174" s="361" t="str">
        <f>Deksels!J58</f>
        <v>None</v>
      </c>
      <c r="B174" s="348" t="str">
        <f>Deksels!F59</f>
        <v>-RctE---0--Options None</v>
      </c>
      <c r="C174" s="297">
        <f>Deksels!C60</f>
        <v>0</v>
      </c>
      <c r="D174" s="297">
        <f>Deksels!V60*Deksels!C60</f>
        <v>0</v>
      </c>
      <c r="E174" s="350">
        <f>Deksels!Z60</f>
        <v>0</v>
      </c>
      <c r="H174" s="443"/>
      <c r="I174" s="443"/>
      <c r="J174" s="443"/>
      <c r="K174" s="443"/>
      <c r="L174" s="443"/>
      <c r="M174" s="443"/>
      <c r="N174" s="443"/>
      <c r="O174" s="443"/>
      <c r="P174" s="443"/>
      <c r="Q174" s="443"/>
      <c r="R174" s="443"/>
    </row>
    <row r="175" spans="1:18" ht="15" customHeight="1">
      <c r="A175" s="361" t="str">
        <f>Deksels!J62</f>
        <v>None</v>
      </c>
      <c r="B175" s="348" t="str">
        <f>Deksels!F63</f>
        <v>-RctE---0--Options None</v>
      </c>
      <c r="C175" s="297">
        <f>Deksels!C64</f>
        <v>0</v>
      </c>
      <c r="D175" s="297">
        <f>Deksels!V64*Deksels!C64</f>
        <v>0</v>
      </c>
      <c r="E175" s="350">
        <f>Deksels!Z64</f>
        <v>0</v>
      </c>
      <c r="H175" s="443"/>
      <c r="I175" s="443"/>
      <c r="J175" s="443"/>
      <c r="K175" s="443"/>
      <c r="L175" s="443"/>
      <c r="M175" s="443"/>
      <c r="N175" s="443"/>
      <c r="O175" s="443"/>
      <c r="P175" s="443"/>
      <c r="Q175" s="443"/>
      <c r="R175" s="443"/>
    </row>
    <row r="176" spans="1:18" ht="15" customHeight="1">
      <c r="A176" s="361" t="str">
        <f>Deksels!J66</f>
        <v>None</v>
      </c>
      <c r="B176" s="348" t="str">
        <f>Deksels!F67</f>
        <v>-RctE---0--Options None</v>
      </c>
      <c r="C176" s="297">
        <f>Deksels!C68</f>
        <v>0</v>
      </c>
      <c r="D176" s="297">
        <f>Deksels!V68*Deksels!C68</f>
        <v>0</v>
      </c>
      <c r="E176" s="350">
        <f>Deksels!Z68</f>
        <v>0</v>
      </c>
      <c r="H176" s="443"/>
      <c r="I176" s="443"/>
      <c r="J176" s="443"/>
      <c r="K176" s="443"/>
      <c r="L176" s="443"/>
      <c r="M176" s="443"/>
      <c r="N176" s="443"/>
      <c r="O176" s="443"/>
      <c r="P176" s="443"/>
      <c r="Q176" s="443"/>
      <c r="R176" s="443"/>
    </row>
    <row r="177" spans="1:18" ht="15" customHeight="1">
      <c r="A177" s="361" t="str">
        <f>Deksels!J70</f>
        <v>None</v>
      </c>
      <c r="B177" s="348" t="str">
        <f>Deksels!F71</f>
        <v>-RctE---0--Options None</v>
      </c>
      <c r="C177" s="297">
        <f>Deksels!C72</f>
        <v>0</v>
      </c>
      <c r="D177" s="297">
        <f>Deksels!V72*Deksels!C72</f>
        <v>0</v>
      </c>
      <c r="E177" s="350">
        <f>Deksels!Z72</f>
        <v>0</v>
      </c>
      <c r="H177" s="443"/>
      <c r="I177" s="443"/>
      <c r="J177" s="443"/>
      <c r="K177" s="443"/>
      <c r="L177" s="443"/>
      <c r="M177" s="443"/>
      <c r="N177" s="443"/>
      <c r="O177" s="443"/>
      <c r="P177" s="443"/>
      <c r="Q177" s="443"/>
      <c r="R177" s="443"/>
    </row>
    <row r="178" spans="1:18" ht="15" customHeight="1">
      <c r="A178" s="361" t="str">
        <f>Deksels!J74</f>
        <v>None</v>
      </c>
      <c r="B178" s="348" t="str">
        <f>Deksels!F75</f>
        <v>-RctE---0--Options None</v>
      </c>
      <c r="C178" s="297">
        <f>Deksels!C76</f>
        <v>0</v>
      </c>
      <c r="D178" s="297">
        <f>Deksels!V76*Deksels!C76</f>
        <v>0</v>
      </c>
      <c r="E178" s="350">
        <f>Deksels!Z76</f>
        <v>0</v>
      </c>
      <c r="H178" s="443"/>
      <c r="I178" s="443"/>
      <c r="J178" s="443"/>
      <c r="K178" s="443"/>
      <c r="L178" s="443"/>
      <c r="M178" s="443"/>
      <c r="N178" s="443"/>
      <c r="O178" s="443"/>
      <c r="P178" s="443"/>
      <c r="Q178" s="443"/>
      <c r="R178" s="443"/>
    </row>
    <row r="179" spans="1:18" ht="15" customHeight="1">
      <c r="A179" s="361" t="str">
        <f>Deksels!J78</f>
        <v>None</v>
      </c>
      <c r="B179" s="348" t="str">
        <f>Deksels!F79</f>
        <v>-RctE---0--Options None</v>
      </c>
      <c r="C179" s="297">
        <f>Deksels!C80</f>
        <v>0</v>
      </c>
      <c r="D179" s="297">
        <f>Deksels!V80*Deksels!C80</f>
        <v>0</v>
      </c>
      <c r="E179" s="350">
        <f>Deksels!Z80</f>
        <v>0</v>
      </c>
      <c r="H179" s="443"/>
      <c r="I179" s="443"/>
      <c r="J179" s="443"/>
      <c r="K179" s="443"/>
      <c r="L179" s="443"/>
      <c r="M179" s="443"/>
      <c r="N179" s="443"/>
      <c r="O179" s="443"/>
      <c r="P179" s="443"/>
      <c r="Q179" s="443"/>
      <c r="R179" s="443"/>
    </row>
    <row r="180" spans="1:18" ht="15" customHeight="1">
      <c r="A180" s="361" t="str">
        <f>Deksels!J82</f>
        <v>None</v>
      </c>
      <c r="B180" s="348" t="str">
        <f>Deksels!F83</f>
        <v>-RctE---0--Options None</v>
      </c>
      <c r="C180" s="297">
        <f>Deksels!C84</f>
        <v>0</v>
      </c>
      <c r="D180" s="297">
        <f>Deksels!V84*Deksels!C84</f>
        <v>0</v>
      </c>
      <c r="E180" s="350">
        <f>Deksels!Z84</f>
        <v>0</v>
      </c>
      <c r="H180" s="443"/>
      <c r="I180" s="443"/>
      <c r="J180" s="443"/>
      <c r="K180" s="443"/>
      <c r="L180" s="443"/>
      <c r="M180" s="443"/>
      <c r="N180" s="443"/>
      <c r="O180" s="443"/>
      <c r="P180" s="443"/>
      <c r="Q180" s="443"/>
      <c r="R180" s="443"/>
    </row>
    <row r="181" spans="1:18" ht="15" customHeight="1">
      <c r="A181" s="361" t="str">
        <f>Deksels!J38</f>
        <v>None</v>
      </c>
      <c r="B181" s="348" t="str">
        <f>Deksels!F87</f>
        <v>-RctE---0--Options None</v>
      </c>
      <c r="C181" s="297">
        <f>Deksels!C88</f>
        <v>0</v>
      </c>
      <c r="D181" s="297">
        <f>Deksels!V88*Deksels!C88</f>
        <v>0</v>
      </c>
      <c r="E181" s="350">
        <f>Deksels!Z88</f>
        <v>0</v>
      </c>
      <c r="H181" s="443"/>
      <c r="I181" s="443"/>
      <c r="J181" s="443"/>
      <c r="K181" s="443"/>
      <c r="L181" s="443"/>
      <c r="M181" s="443"/>
      <c r="N181" s="443"/>
      <c r="O181" s="443"/>
      <c r="P181" s="443"/>
      <c r="Q181" s="443"/>
      <c r="R181" s="443"/>
    </row>
    <row r="182" spans="1:18" ht="15" customHeight="1">
      <c r="A182" s="361" t="str">
        <f>Deksels!J42</f>
        <v>None</v>
      </c>
      <c r="B182" s="348" t="str">
        <f>Deksels!F91</f>
        <v>-RctE---0--Options None</v>
      </c>
      <c r="C182" s="297">
        <f>Deksels!C92</f>
        <v>0</v>
      </c>
      <c r="D182" s="297">
        <f>Deksels!V92*Deksels!C92</f>
        <v>0</v>
      </c>
      <c r="E182" s="350">
        <f>Deksels!Z92</f>
        <v>0</v>
      </c>
      <c r="H182" s="443"/>
      <c r="I182" s="443"/>
      <c r="J182" s="443"/>
      <c r="K182" s="443"/>
      <c r="L182" s="443"/>
      <c r="M182" s="443"/>
      <c r="N182" s="443"/>
      <c r="O182" s="443"/>
      <c r="P182" s="443"/>
      <c r="Q182" s="443"/>
      <c r="R182" s="443"/>
    </row>
    <row r="183" spans="1:18" ht="15" customHeight="1">
      <c r="A183" s="361" t="str">
        <f>Deksels!J46</f>
        <v>None</v>
      </c>
      <c r="B183" s="348" t="str">
        <f>Deksels!F95</f>
        <v>-RctE---0--Options None</v>
      </c>
      <c r="C183" s="297">
        <f>Deksels!C96</f>
        <v>0</v>
      </c>
      <c r="D183" s="297">
        <f>Deksels!V96*Deksels!C96</f>
        <v>0</v>
      </c>
      <c r="E183" s="350">
        <f>Deksels!Z96</f>
        <v>0</v>
      </c>
      <c r="H183" s="443"/>
      <c r="I183" s="443"/>
      <c r="J183" s="443"/>
      <c r="K183" s="443"/>
      <c r="L183" s="443"/>
      <c r="M183" s="443"/>
      <c r="N183" s="443"/>
      <c r="O183" s="443"/>
      <c r="P183" s="443"/>
      <c r="Q183" s="443"/>
      <c r="R183" s="443"/>
    </row>
    <row r="184" spans="1:18" ht="15" customHeight="1">
      <c r="A184" s="361" t="str">
        <f>Deksels!J50</f>
        <v>None</v>
      </c>
      <c r="B184" s="348" t="str">
        <f>Deksels!F99</f>
        <v>-RctE---0--Options None</v>
      </c>
      <c r="C184" s="297">
        <f>Deksels!C100</f>
        <v>0</v>
      </c>
      <c r="D184" s="297">
        <f>Deksels!V100*Deksels!C100</f>
        <v>0</v>
      </c>
      <c r="E184" s="350">
        <f>Deksels!Z100</f>
        <v>0</v>
      </c>
      <c r="H184" s="443"/>
      <c r="I184" s="443"/>
      <c r="J184" s="443"/>
      <c r="K184" s="443"/>
      <c r="L184" s="443"/>
      <c r="M184" s="443"/>
      <c r="N184" s="443"/>
      <c r="O184" s="443"/>
      <c r="P184" s="443"/>
      <c r="Q184" s="443"/>
      <c r="R184" s="443"/>
    </row>
    <row r="185" spans="1:18" ht="15" customHeight="1">
      <c r="A185" s="361" t="str">
        <f>Deksels!J54</f>
        <v>None</v>
      </c>
      <c r="B185" s="348" t="str">
        <f>Deksels!F103</f>
        <v>-RctE---0--Options None</v>
      </c>
      <c r="C185" s="297">
        <f>Deksels!C104</f>
        <v>0</v>
      </c>
      <c r="D185" s="297">
        <f>Deksels!V104*Deksels!C104</f>
        <v>0</v>
      </c>
      <c r="E185" s="350">
        <f>Deksels!Z104</f>
        <v>0</v>
      </c>
      <c r="H185" s="443"/>
      <c r="I185" s="443"/>
      <c r="J185" s="443"/>
      <c r="K185" s="443"/>
      <c r="L185" s="443"/>
      <c r="M185" s="443"/>
      <c r="N185" s="443"/>
      <c r="O185" s="443"/>
      <c r="P185" s="443"/>
      <c r="Q185" s="443"/>
      <c r="R185" s="443"/>
    </row>
    <row r="186" spans="1:18" ht="15" customHeight="1">
      <c r="A186" s="361" t="str">
        <f>Deksels!J58</f>
        <v>None</v>
      </c>
      <c r="B186" s="348" t="str">
        <f>Deksels!F107</f>
        <v>-RctE---0--Options None</v>
      </c>
      <c r="C186" s="297">
        <f>Deksels!C108</f>
        <v>0</v>
      </c>
      <c r="D186" s="297">
        <f>Deksels!V108*Deksels!C108</f>
        <v>0</v>
      </c>
      <c r="E186" s="350">
        <f>Deksels!Z108</f>
        <v>0</v>
      </c>
      <c r="H186" s="443"/>
      <c r="I186" s="443"/>
      <c r="J186" s="443"/>
      <c r="K186" s="443"/>
      <c r="L186" s="443"/>
      <c r="M186" s="443"/>
      <c r="N186" s="443"/>
      <c r="O186" s="443"/>
      <c r="P186" s="443"/>
      <c r="Q186" s="443"/>
      <c r="R186" s="443"/>
    </row>
    <row r="187" spans="1:18" ht="15" customHeight="1">
      <c r="A187" s="361" t="str">
        <f>Deksels!J62</f>
        <v>None</v>
      </c>
      <c r="B187" s="348" t="str">
        <f>Deksels!F111</f>
        <v>-RctE---0--Options None</v>
      </c>
      <c r="C187" s="297">
        <f>Deksels!C112</f>
        <v>0</v>
      </c>
      <c r="D187" s="297">
        <f>Deksels!V112*Deksels!C112</f>
        <v>0</v>
      </c>
      <c r="E187" s="350">
        <f>Deksels!Z112</f>
        <v>0</v>
      </c>
      <c r="H187" s="443"/>
      <c r="I187" s="443"/>
      <c r="J187" s="443"/>
      <c r="K187" s="443"/>
      <c r="L187" s="443"/>
      <c r="M187" s="443"/>
      <c r="N187" s="443"/>
      <c r="O187" s="443"/>
      <c r="P187" s="443"/>
      <c r="Q187" s="443"/>
      <c r="R187" s="443"/>
    </row>
    <row r="188" spans="1:18" ht="15" customHeight="1">
      <c r="A188" s="361" t="str">
        <f>Deksels!J66</f>
        <v>None</v>
      </c>
      <c r="B188" s="348" t="str">
        <f>Deksels!F115</f>
        <v>-RctE---0--Options None</v>
      </c>
      <c r="C188" s="297">
        <f>Deksels!C116</f>
        <v>0</v>
      </c>
      <c r="D188" s="297">
        <f>Deksels!V116*Deksels!C116</f>
        <v>0</v>
      </c>
      <c r="E188" s="350">
        <f>Deksels!Z116</f>
        <v>0</v>
      </c>
      <c r="H188" s="443"/>
      <c r="I188" s="443"/>
      <c r="J188" s="443"/>
      <c r="K188" s="443"/>
      <c r="L188" s="443"/>
      <c r="M188" s="443"/>
      <c r="N188" s="443"/>
      <c r="O188" s="443"/>
      <c r="P188" s="443"/>
      <c r="Q188" s="443"/>
      <c r="R188" s="443"/>
    </row>
    <row r="189" spans="1:18" ht="15" customHeight="1">
      <c r="A189" s="361" t="str">
        <f>Deksels!J70</f>
        <v>None</v>
      </c>
      <c r="B189" s="348" t="str">
        <f>Deksels!F119</f>
        <v>-RctE---0--Options None</v>
      </c>
      <c r="C189" s="297">
        <f>Deksels!C120</f>
        <v>0</v>
      </c>
      <c r="D189" s="297">
        <f>Deksels!V120*Deksels!C120</f>
        <v>0</v>
      </c>
      <c r="E189" s="350">
        <f>Deksels!Z120</f>
        <v>0</v>
      </c>
      <c r="H189" s="443"/>
      <c r="I189" s="443"/>
      <c r="J189" s="443"/>
      <c r="K189" s="443"/>
      <c r="L189" s="443"/>
      <c r="M189" s="443"/>
      <c r="N189" s="443"/>
      <c r="O189" s="443"/>
      <c r="P189" s="443"/>
      <c r="Q189" s="443"/>
      <c r="R189" s="443"/>
    </row>
    <row r="190" spans="1:18" ht="15" customHeight="1">
      <c r="A190" s="361" t="str">
        <f>Deksels!J74</f>
        <v>None</v>
      </c>
      <c r="B190" s="348" t="str">
        <f>Deksels!F123</f>
        <v>-RctE---0--Options None</v>
      </c>
      <c r="C190" s="297">
        <f>Deksels!C124</f>
        <v>0</v>
      </c>
      <c r="D190" s="297">
        <f>Deksels!V124*Deksels!C124</f>
        <v>0</v>
      </c>
      <c r="E190" s="350">
        <f>Deksels!Z124</f>
        <v>0</v>
      </c>
      <c r="H190" s="443"/>
      <c r="I190" s="443"/>
      <c r="J190" s="443"/>
      <c r="K190" s="443"/>
      <c r="L190" s="443"/>
      <c r="M190" s="443"/>
      <c r="N190" s="443"/>
      <c r="O190" s="443"/>
      <c r="P190" s="443"/>
      <c r="Q190" s="443"/>
      <c r="R190" s="443"/>
    </row>
    <row r="191" spans="1:18" ht="15" customHeight="1">
      <c r="A191" s="361" t="str">
        <f>Deksels!J78</f>
        <v>None</v>
      </c>
      <c r="B191" s="348" t="str">
        <f>Deksels!F127</f>
        <v>-RctE---0--Options None</v>
      </c>
      <c r="C191" s="297">
        <f>Deksels!C128</f>
        <v>0</v>
      </c>
      <c r="D191" s="297">
        <f>Deksels!V128*Deksels!C128</f>
        <v>0</v>
      </c>
      <c r="E191" s="350">
        <f>Deksels!Z128</f>
        <v>0</v>
      </c>
      <c r="H191" s="443"/>
      <c r="I191" s="443"/>
      <c r="J191" s="443"/>
      <c r="K191" s="443"/>
      <c r="L191" s="443"/>
      <c r="M191" s="443"/>
      <c r="N191" s="443"/>
      <c r="O191" s="443"/>
      <c r="P191" s="443"/>
      <c r="Q191" s="443"/>
      <c r="R191" s="443"/>
    </row>
    <row r="192" spans="1:18" ht="15" customHeight="1">
      <c r="A192" s="361" t="str">
        <f>Deksels!J82</f>
        <v>None</v>
      </c>
      <c r="B192" s="348" t="str">
        <f>Deksels!F131</f>
        <v>-RctE---0--Options None</v>
      </c>
      <c r="C192" s="297">
        <f>Deksels!C132</f>
        <v>0</v>
      </c>
      <c r="D192" s="297">
        <f>Deksels!V132*Deksels!C132</f>
        <v>0</v>
      </c>
      <c r="E192" s="350">
        <f>Deksels!Z132</f>
        <v>0</v>
      </c>
      <c r="H192" s="443"/>
      <c r="I192" s="443"/>
      <c r="J192" s="443"/>
      <c r="K192" s="443"/>
      <c r="L192" s="443"/>
      <c r="M192" s="443"/>
      <c r="N192" s="443"/>
      <c r="O192" s="443"/>
      <c r="P192" s="443"/>
      <c r="Q192" s="443"/>
      <c r="R192" s="443"/>
    </row>
    <row r="193" spans="1:18" ht="15" customHeight="1">
      <c r="A193" s="361" t="str">
        <f>Deksels!J86</f>
        <v>None</v>
      </c>
      <c r="B193" s="348" t="str">
        <f>Deksels!F135</f>
        <v>-RctE---0--Options None</v>
      </c>
      <c r="C193" s="297">
        <f>Deksels!C136</f>
        <v>0</v>
      </c>
      <c r="D193" s="297">
        <f>Deksels!V136*Deksels!C136</f>
        <v>0</v>
      </c>
      <c r="E193" s="350">
        <f>Deksels!Z136</f>
        <v>0</v>
      </c>
      <c r="H193" s="443"/>
      <c r="I193" s="443"/>
      <c r="J193" s="443"/>
      <c r="K193" s="443"/>
      <c r="L193" s="443"/>
      <c r="M193" s="443"/>
      <c r="N193" s="443"/>
      <c r="O193" s="443"/>
      <c r="P193" s="443"/>
      <c r="Q193" s="443"/>
      <c r="R193" s="443"/>
    </row>
    <row r="194" spans="1:18" ht="15" customHeight="1" thickBot="1">
      <c r="A194" s="362" t="str">
        <f>Deksels!J90</f>
        <v>None</v>
      </c>
      <c r="B194" s="349" t="str">
        <f>Deksels!F139</f>
        <v>-RctE---0--Options None</v>
      </c>
      <c r="C194" s="298">
        <f>Deksels!C140</f>
        <v>0</v>
      </c>
      <c r="D194" s="298">
        <f>Deksels!V140*Deksels!C140</f>
        <v>0</v>
      </c>
      <c r="E194" s="351">
        <f>Deksels!Z140</f>
        <v>0</v>
      </c>
      <c r="H194" s="443"/>
      <c r="I194" s="443"/>
      <c r="J194" s="443"/>
      <c r="K194" s="443"/>
      <c r="L194" s="443"/>
      <c r="M194" s="443"/>
      <c r="N194" s="443"/>
      <c r="O194" s="443"/>
      <c r="P194" s="443"/>
      <c r="Q194" s="443"/>
      <c r="R194" s="443"/>
    </row>
    <row r="195" spans="1:18" ht="15" customHeight="1">
      <c r="A195" s="360" t="str">
        <f>informatieblad!D18</f>
        <v>Eindstukken Gaas 45  (RctG)</v>
      </c>
      <c r="B195" s="364"/>
      <c r="C195" s="296"/>
      <c r="D195" s="296"/>
      <c r="E195" s="365"/>
      <c r="H195" s="443"/>
      <c r="I195" s="443"/>
      <c r="J195" s="443"/>
      <c r="K195" s="443"/>
      <c r="L195" s="443"/>
      <c r="M195" s="443"/>
      <c r="N195" s="443"/>
      <c r="O195" s="443"/>
      <c r="P195" s="443"/>
      <c r="Q195" s="443"/>
      <c r="R195" s="443"/>
    </row>
    <row r="196" spans="1:18" ht="15" customHeight="1">
      <c r="A196" s="361" t="str">
        <f>'Eindstukken gaas 45'!J22</f>
        <v>None</v>
      </c>
      <c r="B196" s="348" t="str">
        <f>'Eindstukken gaas 45'!F23</f>
        <v>-RctG---0-0-0--Options None</v>
      </c>
      <c r="C196" s="297">
        <f>'Eindstukken gaas 45'!C24</f>
        <v>0</v>
      </c>
      <c r="D196" s="297">
        <f>'Eindstukken gaas 45'!V24*'Eindstukken gaas 45'!C24</f>
        <v>0</v>
      </c>
      <c r="E196" s="350">
        <f>'Eindstukken gaas 45'!Z24</f>
        <v>0</v>
      </c>
      <c r="H196" s="443"/>
      <c r="I196" s="443"/>
      <c r="J196" s="443"/>
      <c r="K196" s="443"/>
      <c r="L196" s="443"/>
      <c r="M196" s="443"/>
      <c r="N196" s="443"/>
      <c r="O196" s="443"/>
      <c r="P196" s="443"/>
      <c r="Q196" s="443"/>
      <c r="R196" s="443"/>
    </row>
    <row r="197" spans="1:18" ht="15" customHeight="1">
      <c r="A197" s="361" t="str">
        <f>'Eindstukken gaas 45'!J26</f>
        <v>None</v>
      </c>
      <c r="B197" s="348" t="str">
        <f>'Eindstukken gaas 45'!F27</f>
        <v>-RctG---0-0-0--Options None</v>
      </c>
      <c r="C197" s="297">
        <f>'Eindstukken gaas 45'!C28</f>
        <v>0</v>
      </c>
      <c r="D197" s="297">
        <f>'Eindstukken gaas 45'!V28*'Eindstukken gaas 45'!C28</f>
        <v>0</v>
      </c>
      <c r="E197" s="350">
        <f>'Eindstukken gaas 45'!Z28</f>
        <v>0</v>
      </c>
      <c r="H197" s="443"/>
      <c r="I197" s="443"/>
      <c r="J197" s="443"/>
      <c r="K197" s="443"/>
      <c r="L197" s="443"/>
      <c r="M197" s="443"/>
      <c r="N197" s="443"/>
      <c r="O197" s="443"/>
      <c r="P197" s="443"/>
      <c r="Q197" s="443"/>
      <c r="R197" s="443"/>
    </row>
    <row r="198" spans="1:18" ht="15" customHeight="1">
      <c r="A198" s="361" t="str">
        <f>'Eindstukken gaas 45'!J30</f>
        <v>None</v>
      </c>
      <c r="B198" s="348" t="str">
        <f>'Eindstukken gaas 45'!F31</f>
        <v>-RctG---0-0-0--Options None</v>
      </c>
      <c r="C198" s="297">
        <f>'Eindstukken gaas 45'!C32</f>
        <v>0</v>
      </c>
      <c r="D198" s="297">
        <f>'Eindstukken gaas 45'!V32*'Eindstukken gaas 45'!C32</f>
        <v>0</v>
      </c>
      <c r="E198" s="350">
        <f>'Eindstukken gaas 45'!Z32</f>
        <v>0</v>
      </c>
      <c r="H198" s="443"/>
      <c r="I198" s="443"/>
      <c r="J198" s="443"/>
      <c r="K198" s="443"/>
      <c r="L198" s="443"/>
      <c r="M198" s="443"/>
      <c r="N198" s="443"/>
      <c r="O198" s="443"/>
      <c r="P198" s="443"/>
      <c r="Q198" s="443"/>
      <c r="R198" s="443"/>
    </row>
    <row r="199" spans="1:18" ht="15" customHeight="1">
      <c r="A199" s="361" t="str">
        <f>'Eindstukken gaas 45'!J34</f>
        <v>None</v>
      </c>
      <c r="B199" s="348" t="str">
        <f>'Eindstukken gaas 45'!F35</f>
        <v>-RctG---0-0-0--Options None</v>
      </c>
      <c r="C199" s="297">
        <f>'Eindstukken gaas 45'!C36</f>
        <v>0</v>
      </c>
      <c r="D199" s="297">
        <f>'Eindstukken gaas 45'!V36*'Eindstukken gaas 45'!C36</f>
        <v>0</v>
      </c>
      <c r="E199" s="350">
        <f>'Eindstukken gaas 45'!Z36</f>
        <v>0</v>
      </c>
      <c r="H199" s="443"/>
      <c r="I199" s="443"/>
      <c r="J199" s="443"/>
      <c r="K199" s="443"/>
      <c r="L199" s="443"/>
      <c r="M199" s="443"/>
      <c r="N199" s="443"/>
      <c r="O199" s="443"/>
      <c r="P199" s="443"/>
      <c r="Q199" s="443"/>
      <c r="R199" s="443"/>
    </row>
    <row r="200" spans="1:18" ht="15" customHeight="1">
      <c r="A200" s="361" t="str">
        <f>'Eindstukken gaas 45'!J38</f>
        <v>None</v>
      </c>
      <c r="B200" s="348" t="str">
        <f>'Eindstukken gaas 45'!F39</f>
        <v>-RctG---0-0-0--Options None</v>
      </c>
      <c r="C200" s="297">
        <f>'Eindstukken gaas 45'!C40</f>
        <v>0</v>
      </c>
      <c r="D200" s="297">
        <f>'Eindstukken gaas 45'!V40*'Eindstukken gaas 45'!C40</f>
        <v>0</v>
      </c>
      <c r="E200" s="350">
        <f>'Eindstukken gaas 45'!Z40</f>
        <v>0</v>
      </c>
      <c r="H200" s="443"/>
      <c r="I200" s="443"/>
      <c r="J200" s="443"/>
      <c r="K200" s="443"/>
      <c r="L200" s="443"/>
      <c r="M200" s="443"/>
      <c r="N200" s="443"/>
      <c r="O200" s="443"/>
      <c r="P200" s="443"/>
      <c r="Q200" s="443"/>
      <c r="R200" s="443"/>
    </row>
    <row r="201" spans="1:18" ht="15" customHeight="1">
      <c r="A201" s="361" t="str">
        <f>'Eindstukken gaas 45'!J42</f>
        <v>None</v>
      </c>
      <c r="B201" s="348" t="str">
        <f>'Eindstukken gaas 45'!F43</f>
        <v>-RctG---0-0-0--Options None</v>
      </c>
      <c r="C201" s="297">
        <f>'Eindstukken gaas 45'!C44</f>
        <v>0</v>
      </c>
      <c r="D201" s="297">
        <f>'Eindstukken gaas 45'!V44*'Eindstukken gaas 45'!C44</f>
        <v>0</v>
      </c>
      <c r="E201" s="350">
        <f>'Eindstukken gaas 45'!Z44</f>
        <v>0</v>
      </c>
      <c r="H201" s="443"/>
      <c r="I201" s="443"/>
      <c r="J201" s="443"/>
      <c r="K201" s="443"/>
      <c r="L201" s="443"/>
      <c r="M201" s="443"/>
      <c r="N201" s="443"/>
      <c r="O201" s="443"/>
      <c r="P201" s="443"/>
      <c r="Q201" s="443"/>
      <c r="R201" s="443"/>
    </row>
    <row r="202" spans="1:18" ht="15" customHeight="1">
      <c r="A202" s="361" t="str">
        <f>'Eindstukken gaas 45'!J46</f>
        <v>None</v>
      </c>
      <c r="B202" s="348" t="str">
        <f>'Eindstukken gaas 45'!F47</f>
        <v>-RctG---0-0-0--Options None</v>
      </c>
      <c r="C202" s="297">
        <f>'Eindstukken gaas 45'!C48</f>
        <v>0</v>
      </c>
      <c r="D202" s="297">
        <f>'Eindstukken gaas 45'!V48*'Eindstukken gaas 45'!C48</f>
        <v>0</v>
      </c>
      <c r="E202" s="350">
        <f>'Eindstukken gaas 45'!Z48</f>
        <v>0</v>
      </c>
      <c r="H202" s="443"/>
      <c r="I202" s="443"/>
      <c r="J202" s="443"/>
      <c r="K202" s="443"/>
      <c r="L202" s="443"/>
      <c r="M202" s="443"/>
      <c r="N202" s="443"/>
      <c r="O202" s="443"/>
      <c r="P202" s="443"/>
      <c r="Q202" s="443"/>
      <c r="R202" s="443"/>
    </row>
    <row r="203" spans="1:18" ht="15" customHeight="1">
      <c r="A203" s="361" t="str">
        <f>'Eindstukken gaas 45'!J50</f>
        <v>None</v>
      </c>
      <c r="B203" s="348" t="str">
        <f>'Eindstukken gaas 45'!F51</f>
        <v>-RctG---0-0-0--Options None</v>
      </c>
      <c r="C203" s="297">
        <f>'Eindstukken gaas 45'!C52</f>
        <v>0</v>
      </c>
      <c r="D203" s="297">
        <f>'Eindstukken gaas 45'!V52*'Eindstukken gaas 45'!C52</f>
        <v>0</v>
      </c>
      <c r="E203" s="350">
        <f>'Eindstukken gaas 45'!Z52</f>
        <v>0</v>
      </c>
      <c r="H203" s="443"/>
      <c r="I203" s="443"/>
      <c r="J203" s="443"/>
      <c r="K203" s="443"/>
      <c r="L203" s="443"/>
      <c r="M203" s="443"/>
      <c r="N203" s="443"/>
      <c r="O203" s="443"/>
      <c r="P203" s="443"/>
      <c r="Q203" s="443"/>
      <c r="R203" s="443"/>
    </row>
    <row r="204" spans="1:18" ht="15" customHeight="1">
      <c r="A204" s="361" t="str">
        <f>'Eindstukken gaas 45'!J54</f>
        <v>None</v>
      </c>
      <c r="B204" s="348" t="str">
        <f>'Eindstukken gaas 45'!F55</f>
        <v>-RctG---0-0-0--Options None</v>
      </c>
      <c r="C204" s="297">
        <f>'Eindstukken gaas 45'!C56</f>
        <v>0</v>
      </c>
      <c r="D204" s="297">
        <f>'Eindstukken gaas 45'!V56*'Eindstukken gaas 45'!C56</f>
        <v>0</v>
      </c>
      <c r="E204" s="350">
        <f>'Eindstukken gaas 45'!Z56</f>
        <v>0</v>
      </c>
      <c r="H204" s="443"/>
      <c r="I204" s="443"/>
      <c r="J204" s="443"/>
      <c r="K204" s="443"/>
      <c r="L204" s="443"/>
      <c r="M204" s="443"/>
      <c r="N204" s="443"/>
      <c r="O204" s="443"/>
      <c r="P204" s="443"/>
      <c r="Q204" s="443"/>
      <c r="R204" s="443"/>
    </row>
    <row r="205" spans="1:18" ht="15" customHeight="1">
      <c r="A205" s="361" t="str">
        <f>'Eindstukken gaas 45'!J58</f>
        <v>None</v>
      </c>
      <c r="B205" s="348" t="str">
        <f>'Eindstukken gaas 45'!F59</f>
        <v>-RctG---0-0-0--Options None</v>
      </c>
      <c r="C205" s="297">
        <f>'Eindstukken gaas 45'!C60</f>
        <v>0</v>
      </c>
      <c r="D205" s="297">
        <f>'Eindstukken gaas 45'!V60*'Eindstukken gaas 45'!C60</f>
        <v>0</v>
      </c>
      <c r="E205" s="350">
        <f>'Eindstukken gaas 45'!Z60</f>
        <v>0</v>
      </c>
      <c r="H205" s="443"/>
      <c r="I205" s="443"/>
      <c r="J205" s="443"/>
      <c r="K205" s="443"/>
      <c r="L205" s="443"/>
      <c r="M205" s="443"/>
      <c r="N205" s="443"/>
      <c r="O205" s="443"/>
      <c r="P205" s="443"/>
      <c r="Q205" s="443"/>
      <c r="R205" s="443"/>
    </row>
    <row r="206" spans="1:18" ht="15" customHeight="1">
      <c r="A206" s="361" t="str">
        <f>'Eindstukken gaas 45'!J62</f>
        <v>None</v>
      </c>
      <c r="B206" s="348" t="str">
        <f>'Eindstukken gaas 45'!F63</f>
        <v>-RctG---0-0-0--Options None</v>
      </c>
      <c r="C206" s="297">
        <f>'Eindstukken gaas 45'!C64</f>
        <v>0</v>
      </c>
      <c r="D206" s="297">
        <f>'Eindstukken gaas 45'!V64*'Eindstukken gaas 45'!C64</f>
        <v>0</v>
      </c>
      <c r="E206" s="350">
        <f>'Eindstukken gaas 45'!Z64</f>
        <v>0</v>
      </c>
      <c r="H206" s="443"/>
      <c r="I206" s="443"/>
      <c r="J206" s="443"/>
      <c r="K206" s="443"/>
      <c r="L206" s="443"/>
      <c r="M206" s="443"/>
      <c r="N206" s="443"/>
      <c r="O206" s="443"/>
      <c r="P206" s="443"/>
      <c r="Q206" s="443"/>
      <c r="R206" s="443"/>
    </row>
    <row r="207" spans="1:18" ht="15" customHeight="1">
      <c r="A207" s="361" t="str">
        <f>'Eindstukken gaas 45'!J66</f>
        <v>None</v>
      </c>
      <c r="B207" s="348" t="str">
        <f>'Eindstukken gaas 45'!F67</f>
        <v>-RctG---0-0-0--Options None</v>
      </c>
      <c r="C207" s="297">
        <f>'Eindstukken gaas 45'!C68</f>
        <v>0</v>
      </c>
      <c r="D207" s="297">
        <f>'Eindstukken gaas 45'!V68*'Eindstukken gaas 45'!C68</f>
        <v>0</v>
      </c>
      <c r="E207" s="350">
        <f>'Eindstukken gaas 45'!Z68</f>
        <v>0</v>
      </c>
      <c r="H207" s="443"/>
      <c r="I207" s="443"/>
      <c r="J207" s="443"/>
      <c r="K207" s="443"/>
      <c r="L207" s="443"/>
      <c r="M207" s="443"/>
      <c r="N207" s="443"/>
      <c r="O207" s="443"/>
      <c r="P207" s="443"/>
      <c r="Q207" s="443"/>
      <c r="R207" s="443"/>
    </row>
    <row r="208" spans="1:18" ht="15" customHeight="1">
      <c r="A208" s="361" t="str">
        <f>'Eindstukken gaas 45'!J70</f>
        <v>None</v>
      </c>
      <c r="B208" s="348" t="str">
        <f>'Eindstukken gaas 45'!F71</f>
        <v>-RctG---0-0-0--Options None</v>
      </c>
      <c r="C208" s="297">
        <f>'Eindstukken gaas 45'!C72</f>
        <v>0</v>
      </c>
      <c r="D208" s="297">
        <f>'Eindstukken gaas 45'!V72*'Eindstukken gaas 45'!C72</f>
        <v>0</v>
      </c>
      <c r="E208" s="350">
        <f>'Eindstukken gaas 45'!Z72</f>
        <v>0</v>
      </c>
      <c r="H208" s="443"/>
      <c r="I208" s="443"/>
      <c r="J208" s="443"/>
      <c r="K208" s="443"/>
      <c r="L208" s="443"/>
      <c r="M208" s="443"/>
      <c r="N208" s="443"/>
      <c r="O208" s="443"/>
      <c r="P208" s="443"/>
      <c r="Q208" s="443"/>
      <c r="R208" s="443"/>
    </row>
    <row r="209" spans="1:18" ht="15" customHeight="1">
      <c r="A209" s="361" t="str">
        <f>'Eindstukken gaas 45'!J74</f>
        <v>None</v>
      </c>
      <c r="B209" s="348" t="str">
        <f>'Eindstukken gaas 45'!F75</f>
        <v>-RctG---0-0-0--Options None</v>
      </c>
      <c r="C209" s="297">
        <f>'Eindstukken gaas 45'!C76</f>
        <v>0</v>
      </c>
      <c r="D209" s="297">
        <f>'Eindstukken gaas 45'!V76*'Eindstukken gaas 45'!C76</f>
        <v>0</v>
      </c>
      <c r="E209" s="350">
        <f>'Eindstukken gaas 45'!Z76</f>
        <v>0</v>
      </c>
      <c r="H209" s="443"/>
      <c r="I209" s="443"/>
      <c r="J209" s="443"/>
      <c r="K209" s="443"/>
      <c r="L209" s="443"/>
      <c r="M209" s="443"/>
      <c r="N209" s="443"/>
      <c r="O209" s="443"/>
      <c r="P209" s="443"/>
      <c r="Q209" s="443"/>
      <c r="R209" s="443"/>
    </row>
    <row r="210" spans="1:18" ht="15" customHeight="1">
      <c r="A210" s="361" t="str">
        <f>'Eindstukken gaas 45'!J78</f>
        <v>None</v>
      </c>
      <c r="B210" s="348" t="str">
        <f>'Eindstukken gaas 45'!F79</f>
        <v>-RctG---0-0-0--Options None</v>
      </c>
      <c r="C210" s="297">
        <f>'Eindstukken gaas 45'!C80</f>
        <v>0</v>
      </c>
      <c r="D210" s="297">
        <f>'Eindstukken gaas 45'!V80*'Eindstukken gaas 45'!C80</f>
        <v>0</v>
      </c>
      <c r="E210" s="350">
        <f>'Eindstukken gaas 45'!Z80</f>
        <v>0</v>
      </c>
      <c r="H210" s="443"/>
      <c r="I210" s="443"/>
      <c r="J210" s="443"/>
      <c r="K210" s="443"/>
      <c r="L210" s="443"/>
      <c r="M210" s="443"/>
      <c r="N210" s="443"/>
      <c r="O210" s="443"/>
      <c r="P210" s="443"/>
      <c r="Q210" s="443"/>
      <c r="R210" s="443"/>
    </row>
    <row r="211" spans="1:18" ht="15" customHeight="1">
      <c r="A211" s="361" t="str">
        <f>'Eindstukken gaas 45'!J82</f>
        <v>None</v>
      </c>
      <c r="B211" s="348" t="str">
        <f>'Eindstukken gaas 45'!F83</f>
        <v>-RctG---0-0-0--Options None</v>
      </c>
      <c r="C211" s="297">
        <f>'Eindstukken gaas 45'!C84</f>
        <v>0</v>
      </c>
      <c r="D211" s="297">
        <f>'Eindstukken gaas 45'!V84*'Eindstukken gaas 45'!C84</f>
        <v>0</v>
      </c>
      <c r="E211" s="350">
        <f>'Eindstukken gaas 45'!Z84</f>
        <v>0</v>
      </c>
    </row>
    <row r="212" spans="1:18" ht="15" customHeight="1">
      <c r="A212" s="361" t="str">
        <f>'Eindstukken gaas 45'!J86</f>
        <v>None</v>
      </c>
      <c r="B212" s="348" t="str">
        <f>'Eindstukken gaas 45'!F87</f>
        <v>-RctG---0-0-0--Options None</v>
      </c>
      <c r="C212" s="297">
        <f>'Eindstukken gaas 45'!C88</f>
        <v>0</v>
      </c>
      <c r="D212" s="297">
        <f>'Eindstukken gaas 45'!V88*'Eindstukken gaas 45'!C88</f>
        <v>0</v>
      </c>
      <c r="E212" s="350">
        <f>'Eindstukken gaas 45'!Z88</f>
        <v>0</v>
      </c>
    </row>
    <row r="213" spans="1:18" ht="15" customHeight="1">
      <c r="A213" s="361" t="str">
        <f>'Eindstukken gaas 45'!J90</f>
        <v>None</v>
      </c>
      <c r="B213" s="348" t="str">
        <f>'Eindstukken gaas 45'!F91</f>
        <v>-RctG---0-0-0--Options None</v>
      </c>
      <c r="C213" s="297">
        <f>'Eindstukken gaas 45'!C92</f>
        <v>0</v>
      </c>
      <c r="D213" s="297">
        <f>'Eindstukken gaas 45'!V92*'Eindstukken gaas 45'!C92</f>
        <v>0</v>
      </c>
      <c r="E213" s="350">
        <f>'Eindstukken gaas 45'!Z92</f>
        <v>0</v>
      </c>
    </row>
    <row r="214" spans="1:18" ht="15" customHeight="1">
      <c r="A214" s="361" t="str">
        <f>'Eindstukken gaas 45'!J94</f>
        <v>None</v>
      </c>
      <c r="B214" s="348" t="str">
        <f>'Eindstukken gaas 45'!F95</f>
        <v>-RctG---0-0-0--Options None</v>
      </c>
      <c r="C214" s="297">
        <f>'Eindstukken gaas 45'!C96</f>
        <v>0</v>
      </c>
      <c r="D214" s="297">
        <f>'Eindstukken gaas 45'!V96*'Eindstukken gaas 45'!C96</f>
        <v>0</v>
      </c>
      <c r="E214" s="350">
        <f>'Eindstukken gaas 45'!Z96</f>
        <v>0</v>
      </c>
    </row>
    <row r="215" spans="1:18" ht="15" customHeight="1">
      <c r="A215" s="361" t="str">
        <f>'Eindstukken gaas 45'!J98</f>
        <v>None</v>
      </c>
      <c r="B215" s="348" t="str">
        <f>'Eindstukken gaas 45'!F99</f>
        <v>-RctG---0-0-0--Options None</v>
      </c>
      <c r="C215" s="297">
        <f>'Eindstukken gaas 45'!C100</f>
        <v>0</v>
      </c>
      <c r="D215" s="297">
        <f>'Eindstukken gaas 45'!V100*'Eindstukken gaas 45'!C100</f>
        <v>0</v>
      </c>
      <c r="E215" s="350">
        <f>'Eindstukken gaas 45'!Z100</f>
        <v>0</v>
      </c>
    </row>
    <row r="216" spans="1:18" ht="15" customHeight="1">
      <c r="A216" s="361" t="str">
        <f>'Eindstukken gaas 45'!J102</f>
        <v>None</v>
      </c>
      <c r="B216" s="348" t="str">
        <f>'Eindstukken gaas 45'!F103</f>
        <v>-RctG---0-0-0--Options None</v>
      </c>
      <c r="C216" s="297">
        <f>'Eindstukken gaas 45'!C104</f>
        <v>0</v>
      </c>
      <c r="D216" s="297">
        <f>'Eindstukken gaas 45'!V104*'Eindstukken gaas 45'!C104</f>
        <v>0</v>
      </c>
      <c r="E216" s="350">
        <f>'Eindstukken gaas 45'!Z104</f>
        <v>0</v>
      </c>
    </row>
    <row r="217" spans="1:18" ht="15" customHeight="1">
      <c r="A217" s="361" t="str">
        <f>'Eindstukken gaas 45'!J106</f>
        <v>None</v>
      </c>
      <c r="B217" s="348" t="str">
        <f>'Eindstukken gaas 45'!F107</f>
        <v>-RctG---0-0-0--Options None</v>
      </c>
      <c r="C217" s="297">
        <f>'Eindstukken gaas 45'!C108</f>
        <v>0</v>
      </c>
      <c r="D217" s="297">
        <f>'Eindstukken gaas 45'!V108*'Eindstukken gaas 45'!C108</f>
        <v>0</v>
      </c>
      <c r="E217" s="350">
        <f>'Eindstukken gaas 45'!Z108</f>
        <v>0</v>
      </c>
    </row>
    <row r="218" spans="1:18" ht="15" customHeight="1">
      <c r="A218" s="361" t="str">
        <f>'Eindstukken gaas 45'!J110</f>
        <v>None</v>
      </c>
      <c r="B218" s="348" t="str">
        <f>'Eindstukken gaas 45'!F111</f>
        <v>-RctG---0-0-0--Options None</v>
      </c>
      <c r="C218" s="297">
        <f>'Eindstukken gaas 45'!C112</f>
        <v>0</v>
      </c>
      <c r="D218" s="297">
        <f>'Eindstukken gaas 45'!V112*'Eindstukken gaas 45'!C112</f>
        <v>0</v>
      </c>
      <c r="E218" s="350">
        <f>'Eindstukken gaas 45'!Z112</f>
        <v>0</v>
      </c>
    </row>
    <row r="219" spans="1:18" ht="15" customHeight="1">
      <c r="A219" s="361" t="str">
        <f>'Eindstukken gaas 45'!J114</f>
        <v>None</v>
      </c>
      <c r="B219" s="348" t="str">
        <f>'Eindstukken gaas 45'!F115</f>
        <v>-RctG---0-0-0--Options None</v>
      </c>
      <c r="C219" s="297">
        <f>'Eindstukken gaas 45'!C116</f>
        <v>0</v>
      </c>
      <c r="D219" s="297">
        <f>'Eindstukken gaas 45'!V116*'Eindstukken gaas 45'!C116</f>
        <v>0</v>
      </c>
      <c r="E219" s="350">
        <f>'Eindstukken gaas 45'!Z116</f>
        <v>0</v>
      </c>
    </row>
    <row r="220" spans="1:18" ht="15" customHeight="1">
      <c r="A220" s="361" t="str">
        <f>'Eindstukken gaas 45'!J118</f>
        <v>None</v>
      </c>
      <c r="B220" s="348" t="str">
        <f>'Eindstukken gaas 45'!F119</f>
        <v>-RctG---0-0-0--Options None</v>
      </c>
      <c r="C220" s="297">
        <f>'Eindstukken gaas 45'!C120</f>
        <v>0</v>
      </c>
      <c r="D220" s="297">
        <f>'Eindstukken gaas 45'!V120*'Eindstukken gaas 45'!C120</f>
        <v>0</v>
      </c>
      <c r="E220" s="350">
        <f>'Eindstukken gaas 45'!Z120</f>
        <v>0</v>
      </c>
    </row>
    <row r="221" spans="1:18" ht="15" customHeight="1">
      <c r="A221" s="361" t="str">
        <f>'Eindstukken gaas 45'!J122</f>
        <v>None</v>
      </c>
      <c r="B221" s="348" t="str">
        <f>'Eindstukken gaas 45'!F123</f>
        <v>-RctG---0-0-0--Options None</v>
      </c>
      <c r="C221" s="297">
        <f>'Eindstukken gaas 45'!C124</f>
        <v>0</v>
      </c>
      <c r="D221" s="297">
        <f>'Eindstukken gaas 45'!V124*'Eindstukken gaas 45'!C124</f>
        <v>0</v>
      </c>
      <c r="E221" s="350">
        <f>'Eindstukken gaas 45'!Z124</f>
        <v>0</v>
      </c>
    </row>
    <row r="222" spans="1:18" ht="15" customHeight="1">
      <c r="A222" s="361" t="str">
        <f>'Eindstukken gaas 45'!J126</f>
        <v>None</v>
      </c>
      <c r="B222" s="348" t="str">
        <f>'Eindstukken gaas 45'!F127</f>
        <v>-RctG---0-0-0--Options None</v>
      </c>
      <c r="C222" s="297">
        <f>'Eindstukken gaas 45'!C128</f>
        <v>0</v>
      </c>
      <c r="D222" s="297">
        <f>'Eindstukken gaas 45'!V128*'Eindstukken gaas 45'!C128</f>
        <v>0</v>
      </c>
      <c r="E222" s="350">
        <f>'Eindstukken gaas 45'!Z128</f>
        <v>0</v>
      </c>
    </row>
    <row r="223" spans="1:18" ht="15" customHeight="1">
      <c r="A223" s="361" t="str">
        <f>'Eindstukken gaas 45'!J130</f>
        <v>None</v>
      </c>
      <c r="B223" s="348" t="str">
        <f>'Eindstukken gaas 45'!F131</f>
        <v>-RctG---0-0-0--Options None</v>
      </c>
      <c r="C223" s="297">
        <f>'Eindstukken gaas 45'!C132</f>
        <v>0</v>
      </c>
      <c r="D223" s="297">
        <f>'Eindstukken gaas 45'!V132*'Eindstukken gaas 45'!C132</f>
        <v>0</v>
      </c>
      <c r="E223" s="350">
        <f>'Eindstukken gaas 45'!Z132</f>
        <v>0</v>
      </c>
    </row>
    <row r="224" spans="1:18" ht="15" customHeight="1">
      <c r="A224" s="361" t="str">
        <f>'Eindstukken gaas 45'!J134</f>
        <v>None</v>
      </c>
      <c r="B224" s="348" t="str">
        <f>'Eindstukken gaas 45'!F135</f>
        <v>-RctG---0-0-0--Options None</v>
      </c>
      <c r="C224" s="297">
        <f>'Eindstukken gaas 45'!C136</f>
        <v>0</v>
      </c>
      <c r="D224" s="297">
        <f>'Eindstukken gaas 45'!V136*'Eindstukken gaas 45'!C136</f>
        <v>0</v>
      </c>
      <c r="E224" s="350">
        <f>'Eindstukken gaas 45'!Z136</f>
        <v>0</v>
      </c>
    </row>
    <row r="225" spans="1:5" ht="15" customHeight="1" thickBot="1">
      <c r="A225" s="362" t="str">
        <f>'Eindstukken gaas 45'!J138</f>
        <v>None</v>
      </c>
      <c r="B225" s="349" t="str">
        <f>'Eindstukken gaas 45'!F139</f>
        <v>-RctG---0-0-0--Options None</v>
      </c>
      <c r="C225" s="298">
        <f>'Eindstukken gaas 45'!C140</f>
        <v>0</v>
      </c>
      <c r="D225" s="298">
        <f>'Eindstukken gaas 45'!V140*'Eindstukken gaas 45'!C140</f>
        <v>0</v>
      </c>
      <c r="E225" s="351">
        <f>'Eindstukken gaas 45'!Z140</f>
        <v>0</v>
      </c>
    </row>
    <row r="226" spans="1:5" ht="15" customHeight="1">
      <c r="A226" s="360" t="str">
        <f>informatieblad!D19</f>
        <v>Rechte Aftakkingen  (RctS)</v>
      </c>
      <c r="B226" s="364"/>
      <c r="C226" s="296"/>
      <c r="D226" s="296"/>
      <c r="E226" s="365"/>
    </row>
    <row r="227" spans="1:5" ht="15" customHeight="1">
      <c r="A227" s="361" t="str">
        <f>'Rechte aftakkingen'!J22</f>
        <v>None</v>
      </c>
      <c r="B227" s="348" t="str">
        <f>'Rechte aftakkingen'!F23</f>
        <v>-RctS---0--Options None</v>
      </c>
      <c r="C227" s="297">
        <f>'Rechte aftakkingen'!C24</f>
        <v>0</v>
      </c>
      <c r="D227" s="297">
        <f>'Rechte aftakkingen'!C24*'Rechte aftakkingen'!V24</f>
        <v>0</v>
      </c>
      <c r="E227" s="350">
        <f>'Rechte aftakkingen'!Z24</f>
        <v>0</v>
      </c>
    </row>
    <row r="228" spans="1:5" ht="15" customHeight="1">
      <c r="A228" s="361" t="str">
        <f>'Rechte aftakkingen'!J26</f>
        <v>None</v>
      </c>
      <c r="B228" s="348" t="str">
        <f>'Rechte aftakkingen'!F27</f>
        <v>-RctS---0--Options None</v>
      </c>
      <c r="C228" s="297">
        <f>'Rechte aftakkingen'!C28</f>
        <v>0</v>
      </c>
      <c r="D228" s="297">
        <f>'Rechte aftakkingen'!C28*'Rechte aftakkingen'!V28</f>
        <v>0</v>
      </c>
      <c r="E228" s="350">
        <f>'Rechte aftakkingen'!Z28</f>
        <v>0</v>
      </c>
    </row>
    <row r="229" spans="1:5" ht="15" customHeight="1">
      <c r="A229" s="361" t="str">
        <f>'Rechte aftakkingen'!J30</f>
        <v>None</v>
      </c>
      <c r="B229" s="348" t="str">
        <f>'Rechte aftakkingen'!F31</f>
        <v>-RctS---0--Options None</v>
      </c>
      <c r="C229" s="297">
        <f>'Rechte aftakkingen'!C32</f>
        <v>0</v>
      </c>
      <c r="D229" s="297">
        <f>'Rechte aftakkingen'!C32*'Rechte aftakkingen'!V32</f>
        <v>0</v>
      </c>
      <c r="E229" s="350">
        <f>'Rechte aftakkingen'!Z32</f>
        <v>0</v>
      </c>
    </row>
    <row r="230" spans="1:5" ht="15" customHeight="1">
      <c r="A230" s="361" t="str">
        <f>'Rechte aftakkingen'!J34</f>
        <v>None</v>
      </c>
      <c r="B230" s="348" t="str">
        <f>'Rechte aftakkingen'!F35</f>
        <v>-RctS---0--Options None</v>
      </c>
      <c r="C230" s="297">
        <f>'Rechte aftakkingen'!C36</f>
        <v>0</v>
      </c>
      <c r="D230" s="297">
        <f>'Rechte aftakkingen'!C36*'Rechte aftakkingen'!V36</f>
        <v>0</v>
      </c>
      <c r="E230" s="350">
        <f>'Rechte aftakkingen'!Z36</f>
        <v>0</v>
      </c>
    </row>
    <row r="231" spans="1:5" ht="15" customHeight="1">
      <c r="A231" s="361" t="str">
        <f>'Rechte aftakkingen'!J38</f>
        <v>None</v>
      </c>
      <c r="B231" s="348" t="str">
        <f>'Rechte aftakkingen'!F39</f>
        <v>-RctS---0--Options None</v>
      </c>
      <c r="C231" s="297">
        <f>'Rechte aftakkingen'!C40</f>
        <v>0</v>
      </c>
      <c r="D231" s="297">
        <f>'Rechte aftakkingen'!C40*'Rechte aftakkingen'!V40</f>
        <v>0</v>
      </c>
      <c r="E231" s="350">
        <f>'Rechte aftakkingen'!Z40</f>
        <v>0</v>
      </c>
    </row>
    <row r="232" spans="1:5" ht="15" customHeight="1">
      <c r="A232" s="361" t="str">
        <f>'Rechte aftakkingen'!J42</f>
        <v>None</v>
      </c>
      <c r="B232" s="348" t="str">
        <f>'Rechte aftakkingen'!F43</f>
        <v>-RctS---0--Options None</v>
      </c>
      <c r="C232" s="297">
        <f>'Rechte aftakkingen'!C44</f>
        <v>0</v>
      </c>
      <c r="D232" s="297">
        <f>'Rechte aftakkingen'!C44*'Rechte aftakkingen'!V44</f>
        <v>0</v>
      </c>
      <c r="E232" s="350">
        <f>'Rechte aftakkingen'!Z44</f>
        <v>0</v>
      </c>
    </row>
    <row r="233" spans="1:5" ht="15" customHeight="1">
      <c r="A233" s="361" t="str">
        <f>'Rechte aftakkingen'!J46</f>
        <v>None</v>
      </c>
      <c r="B233" s="348" t="str">
        <f>'Rechte aftakkingen'!F47</f>
        <v>-RctS---0--Options None</v>
      </c>
      <c r="C233" s="297">
        <f>'Rechte aftakkingen'!C48</f>
        <v>0</v>
      </c>
      <c r="D233" s="297">
        <f>'Rechte aftakkingen'!C48*'Rechte aftakkingen'!V48</f>
        <v>0</v>
      </c>
      <c r="E233" s="350">
        <f>'Rechte aftakkingen'!Z48</f>
        <v>0</v>
      </c>
    </row>
    <row r="234" spans="1:5" ht="15" customHeight="1">
      <c r="A234" s="361" t="str">
        <f>'Rechte aftakkingen'!J50</f>
        <v>None</v>
      </c>
      <c r="B234" s="348" t="str">
        <f>'Rechte aftakkingen'!F51</f>
        <v>-RctS---0--Options None</v>
      </c>
      <c r="C234" s="297">
        <f>'Rechte aftakkingen'!C52</f>
        <v>0</v>
      </c>
      <c r="D234" s="297">
        <f>'Rechte aftakkingen'!C52*'Rechte aftakkingen'!V52</f>
        <v>0</v>
      </c>
      <c r="E234" s="350">
        <f>'Rechte aftakkingen'!Z52</f>
        <v>0</v>
      </c>
    </row>
    <row r="235" spans="1:5" ht="15" customHeight="1">
      <c r="A235" s="361" t="str">
        <f>'Rechte aftakkingen'!J54</f>
        <v>None</v>
      </c>
      <c r="B235" s="348" t="str">
        <f>'Rechte aftakkingen'!F55</f>
        <v>-RctS---0--Options None</v>
      </c>
      <c r="C235" s="297">
        <f>'Rechte aftakkingen'!C56</f>
        <v>0</v>
      </c>
      <c r="D235" s="297">
        <f>'Rechte aftakkingen'!C56*'Rechte aftakkingen'!V56</f>
        <v>0</v>
      </c>
      <c r="E235" s="350">
        <f>'Rechte aftakkingen'!Z56</f>
        <v>0</v>
      </c>
    </row>
    <row r="236" spans="1:5" ht="15" customHeight="1">
      <c r="A236" s="361" t="str">
        <f>'Rechte aftakkingen'!J58</f>
        <v>None</v>
      </c>
      <c r="B236" s="348" t="str">
        <f>'Rechte aftakkingen'!F59</f>
        <v>-RctS---0--Options None</v>
      </c>
      <c r="C236" s="297">
        <f>'Rechte aftakkingen'!C60</f>
        <v>0</v>
      </c>
      <c r="D236" s="297">
        <f>'Rechte aftakkingen'!C60*'Rechte aftakkingen'!V60</f>
        <v>0</v>
      </c>
      <c r="E236" s="350">
        <f>'Rechte aftakkingen'!Z60</f>
        <v>0</v>
      </c>
    </row>
    <row r="237" spans="1:5" ht="15" customHeight="1">
      <c r="A237" s="361" t="str">
        <f>'Rechte aftakkingen'!J62</f>
        <v>None</v>
      </c>
      <c r="B237" s="348" t="str">
        <f>'Rechte aftakkingen'!F63</f>
        <v>-RctS---0--Options None</v>
      </c>
      <c r="C237" s="297">
        <f>'Rechte aftakkingen'!C64</f>
        <v>0</v>
      </c>
      <c r="D237" s="297">
        <f>'Rechte aftakkingen'!C64*'Rechte aftakkingen'!V64</f>
        <v>0</v>
      </c>
      <c r="E237" s="350">
        <f>'Rechte aftakkingen'!Z64</f>
        <v>0</v>
      </c>
    </row>
    <row r="238" spans="1:5" ht="15" customHeight="1">
      <c r="A238" s="361" t="str">
        <f>'Rechte aftakkingen'!J66</f>
        <v>None</v>
      </c>
      <c r="B238" s="348" t="str">
        <f>'Rechte aftakkingen'!F67</f>
        <v>-RctS---0--Options None</v>
      </c>
      <c r="C238" s="297">
        <f>'Rechte aftakkingen'!C68</f>
        <v>0</v>
      </c>
      <c r="D238" s="297">
        <f>'Rechte aftakkingen'!C68*'Rechte aftakkingen'!V68</f>
        <v>0</v>
      </c>
      <c r="E238" s="350">
        <f>'Rechte aftakkingen'!Z68</f>
        <v>0</v>
      </c>
    </row>
    <row r="239" spans="1:5" ht="15" customHeight="1">
      <c r="A239" s="361" t="str">
        <f>'Rechte aftakkingen'!J70</f>
        <v>None</v>
      </c>
      <c r="B239" s="348" t="str">
        <f>'Rechte aftakkingen'!F71</f>
        <v>-RctS---0--Options None</v>
      </c>
      <c r="C239" s="297">
        <f>'Rechte aftakkingen'!C72</f>
        <v>0</v>
      </c>
      <c r="D239" s="297">
        <f>'Rechte aftakkingen'!C72*'Rechte aftakkingen'!V72</f>
        <v>0</v>
      </c>
      <c r="E239" s="350">
        <f>'Rechte aftakkingen'!Z72</f>
        <v>0</v>
      </c>
    </row>
    <row r="240" spans="1:5" ht="15" customHeight="1">
      <c r="A240" s="361" t="str">
        <f>'Rechte aftakkingen'!J74</f>
        <v>None</v>
      </c>
      <c r="B240" s="348" t="str">
        <f>'Rechte aftakkingen'!F75</f>
        <v>-RctS---0--Options None</v>
      </c>
      <c r="C240" s="297">
        <f>'Rechte aftakkingen'!C76</f>
        <v>0</v>
      </c>
      <c r="D240" s="297">
        <f>'Rechte aftakkingen'!C76*'Rechte aftakkingen'!V76</f>
        <v>0</v>
      </c>
      <c r="E240" s="350">
        <f>'Rechte aftakkingen'!Z76</f>
        <v>0</v>
      </c>
    </row>
    <row r="241" spans="1:5" ht="15" customHeight="1">
      <c r="A241" s="361" t="str">
        <f>'Rechte aftakkingen'!J78</f>
        <v>None</v>
      </c>
      <c r="B241" s="348" t="str">
        <f>'Rechte aftakkingen'!F79</f>
        <v>-RctS---0--Options None</v>
      </c>
      <c r="C241" s="297">
        <f>'Rechte aftakkingen'!C80</f>
        <v>0</v>
      </c>
      <c r="D241" s="297">
        <f>'Rechte aftakkingen'!C80*'Rechte aftakkingen'!V80</f>
        <v>0</v>
      </c>
      <c r="E241" s="350">
        <f>'Rechte aftakkingen'!Z80</f>
        <v>0</v>
      </c>
    </row>
    <row r="242" spans="1:5" ht="15" customHeight="1">
      <c r="A242" s="361" t="str">
        <f>'Rechte aftakkingen'!J82</f>
        <v>None</v>
      </c>
      <c r="B242" s="348" t="str">
        <f>'Rechte aftakkingen'!F83</f>
        <v>-RctS---0--Options None</v>
      </c>
      <c r="C242" s="297">
        <f>'Rechte aftakkingen'!C84</f>
        <v>0</v>
      </c>
      <c r="D242" s="297">
        <f>'Rechte aftakkingen'!C84*'Rechte aftakkingen'!V84</f>
        <v>0</v>
      </c>
      <c r="E242" s="350">
        <f>'Rechte aftakkingen'!Z84</f>
        <v>0</v>
      </c>
    </row>
    <row r="243" spans="1:5" ht="15" customHeight="1">
      <c r="A243" s="361" t="str">
        <f>'Rechte aftakkingen'!J86</f>
        <v>None</v>
      </c>
      <c r="B243" s="348" t="str">
        <f>'Rechte aftakkingen'!F87</f>
        <v>-RctS---0--Options None</v>
      </c>
      <c r="C243" s="297">
        <f>'Rechte aftakkingen'!C88</f>
        <v>0</v>
      </c>
      <c r="D243" s="297">
        <f>'Rechte aftakkingen'!C88*'Rechte aftakkingen'!V88</f>
        <v>0</v>
      </c>
      <c r="E243" s="350">
        <f>'Rechte aftakkingen'!Z88</f>
        <v>0</v>
      </c>
    </row>
    <row r="244" spans="1:5" ht="15" customHeight="1">
      <c r="A244" s="361" t="str">
        <f>'Rechte aftakkingen'!J90</f>
        <v>None</v>
      </c>
      <c r="B244" s="348" t="str">
        <f>'Rechte aftakkingen'!F91</f>
        <v>-RctS---0--Options None</v>
      </c>
      <c r="C244" s="297">
        <f>'Rechte aftakkingen'!C92</f>
        <v>0</v>
      </c>
      <c r="D244" s="297">
        <f>'Rechte aftakkingen'!C92*'Rechte aftakkingen'!V92</f>
        <v>0</v>
      </c>
      <c r="E244" s="350">
        <f>'Rechte aftakkingen'!Z92</f>
        <v>0</v>
      </c>
    </row>
    <row r="245" spans="1:5" ht="15" customHeight="1">
      <c r="A245" s="361" t="str">
        <f>'Rechte aftakkingen'!J94</f>
        <v>None</v>
      </c>
      <c r="B245" s="348" t="str">
        <f>'Rechte aftakkingen'!F95</f>
        <v>-RctS---0--Options None</v>
      </c>
      <c r="C245" s="297">
        <f>'Rechte aftakkingen'!C96</f>
        <v>0</v>
      </c>
      <c r="D245" s="297">
        <f>'Rechte aftakkingen'!C96*'Rechte aftakkingen'!V96</f>
        <v>0</v>
      </c>
      <c r="E245" s="350">
        <f>'Rechte aftakkingen'!Z96</f>
        <v>0</v>
      </c>
    </row>
    <row r="246" spans="1:5" ht="15" customHeight="1">
      <c r="A246" s="361" t="str">
        <f>'Rechte aftakkingen'!J98</f>
        <v>None</v>
      </c>
      <c r="B246" s="348" t="str">
        <f>'Rechte aftakkingen'!F99</f>
        <v>-RctS---0--Options None</v>
      </c>
      <c r="C246" s="297">
        <f>'Rechte aftakkingen'!C100</f>
        <v>0</v>
      </c>
      <c r="D246" s="297">
        <f>'Rechte aftakkingen'!C100*'Rechte aftakkingen'!V100</f>
        <v>0</v>
      </c>
      <c r="E246" s="350">
        <f>'Rechte aftakkingen'!Z100</f>
        <v>0</v>
      </c>
    </row>
    <row r="247" spans="1:5" ht="15" customHeight="1">
      <c r="A247" s="361" t="str">
        <f>'Rechte aftakkingen'!J102</f>
        <v>None</v>
      </c>
      <c r="B247" s="348" t="str">
        <f>'Rechte aftakkingen'!F103</f>
        <v>-RctS---0--Options None</v>
      </c>
      <c r="C247" s="297">
        <f>'Rechte aftakkingen'!C104</f>
        <v>0</v>
      </c>
      <c r="D247" s="297">
        <f>'Rechte aftakkingen'!C104*'Rechte aftakkingen'!V104</f>
        <v>0</v>
      </c>
      <c r="E247" s="350">
        <f>'Rechte aftakkingen'!Z104</f>
        <v>0</v>
      </c>
    </row>
    <row r="248" spans="1:5" ht="15" customHeight="1">
      <c r="A248" s="361" t="str">
        <f>'Rechte aftakkingen'!J106</f>
        <v>None</v>
      </c>
      <c r="B248" s="348" t="str">
        <f>'Rechte aftakkingen'!F107</f>
        <v>-RctS---0--Options None</v>
      </c>
      <c r="C248" s="297">
        <f>'Rechte aftakkingen'!C108</f>
        <v>0</v>
      </c>
      <c r="D248" s="297">
        <f>'Rechte aftakkingen'!C108*'Rechte aftakkingen'!V108</f>
        <v>0</v>
      </c>
      <c r="E248" s="350">
        <f>'Rechte aftakkingen'!Z108</f>
        <v>0</v>
      </c>
    </row>
    <row r="249" spans="1:5" ht="15" customHeight="1">
      <c r="A249" s="361" t="str">
        <f>'Rechte aftakkingen'!J110</f>
        <v>None</v>
      </c>
      <c r="B249" s="348" t="str">
        <f>'Rechte aftakkingen'!F111</f>
        <v>-RctS---0--Options None</v>
      </c>
      <c r="C249" s="297">
        <f>'Rechte aftakkingen'!C112</f>
        <v>0</v>
      </c>
      <c r="D249" s="297">
        <f>'Rechte aftakkingen'!C112*'Rechte aftakkingen'!V112</f>
        <v>0</v>
      </c>
      <c r="E249" s="350">
        <f>'Rechte aftakkingen'!Z112</f>
        <v>0</v>
      </c>
    </row>
    <row r="250" spans="1:5" ht="15" customHeight="1">
      <c r="A250" s="361" t="str">
        <f>'Rechte aftakkingen'!J114</f>
        <v>None</v>
      </c>
      <c r="B250" s="348" t="str">
        <f>'Rechte aftakkingen'!F115</f>
        <v>-RctS---0--Options None</v>
      </c>
      <c r="C250" s="297">
        <f>'Rechte aftakkingen'!C116</f>
        <v>0</v>
      </c>
      <c r="D250" s="297">
        <f>'Rechte aftakkingen'!C116*'Rechte aftakkingen'!V116</f>
        <v>0</v>
      </c>
      <c r="E250" s="350">
        <f>'Rechte aftakkingen'!Z116</f>
        <v>0</v>
      </c>
    </row>
    <row r="251" spans="1:5" ht="15" customHeight="1">
      <c r="A251" s="361" t="str">
        <f>'Rechte aftakkingen'!J118</f>
        <v>None</v>
      </c>
      <c r="B251" s="348" t="str">
        <f>'Rechte aftakkingen'!F119</f>
        <v>-RctS---0--Options None</v>
      </c>
      <c r="C251" s="297">
        <f>'Rechte aftakkingen'!C120</f>
        <v>0</v>
      </c>
      <c r="D251" s="297">
        <f>'Rechte aftakkingen'!C120*'Rechte aftakkingen'!V120</f>
        <v>0</v>
      </c>
      <c r="E251" s="350">
        <f>'Rechte aftakkingen'!Z120</f>
        <v>0</v>
      </c>
    </row>
    <row r="252" spans="1:5" ht="15" customHeight="1">
      <c r="A252" s="361" t="str">
        <f>'Rechte aftakkingen'!J122</f>
        <v>None</v>
      </c>
      <c r="B252" s="348" t="str">
        <f>'Rechte aftakkingen'!F123</f>
        <v>-RctS---0--Options None</v>
      </c>
      <c r="C252" s="297">
        <f>'Rechte aftakkingen'!C124</f>
        <v>0</v>
      </c>
      <c r="D252" s="297">
        <f>'Rechte aftakkingen'!C124*'Rechte aftakkingen'!V124</f>
        <v>0</v>
      </c>
      <c r="E252" s="350">
        <f>'Rechte aftakkingen'!Z124</f>
        <v>0</v>
      </c>
    </row>
    <row r="253" spans="1:5" ht="15" customHeight="1">
      <c r="A253" s="361" t="str">
        <f>'Rechte aftakkingen'!J126</f>
        <v>None</v>
      </c>
      <c r="B253" s="348" t="str">
        <f>'Rechte aftakkingen'!F127</f>
        <v>-RctS---0--Options None</v>
      </c>
      <c r="C253" s="297">
        <f>'Rechte aftakkingen'!C128</f>
        <v>0</v>
      </c>
      <c r="D253" s="297">
        <f>'Rechte aftakkingen'!C128*'Rechte aftakkingen'!V128</f>
        <v>0</v>
      </c>
      <c r="E253" s="350">
        <f>'Rechte aftakkingen'!Z128</f>
        <v>0</v>
      </c>
    </row>
    <row r="254" spans="1:5" ht="15" customHeight="1">
      <c r="A254" s="361" t="str">
        <f>'Rechte aftakkingen'!J130</f>
        <v>None</v>
      </c>
      <c r="B254" s="348" t="str">
        <f>'Rechte aftakkingen'!F131</f>
        <v>-RctS---0--Options None</v>
      </c>
      <c r="C254" s="297">
        <f>'Rechte aftakkingen'!C132</f>
        <v>0</v>
      </c>
      <c r="D254" s="297">
        <f>'Rechte aftakkingen'!C132*'Rechte aftakkingen'!V132</f>
        <v>0</v>
      </c>
      <c r="E254" s="350">
        <f>'Rechte aftakkingen'!Z132</f>
        <v>0</v>
      </c>
    </row>
    <row r="255" spans="1:5" ht="15" customHeight="1">
      <c r="A255" s="361" t="str">
        <f>'Rechte aftakkingen'!J134</f>
        <v>None</v>
      </c>
      <c r="B255" s="348" t="str">
        <f>'Rechte aftakkingen'!F135</f>
        <v>-RctS---0--Options None</v>
      </c>
      <c r="C255" s="297">
        <f>'Rechte aftakkingen'!C136</f>
        <v>0</v>
      </c>
      <c r="D255" s="297">
        <f>'Rechte aftakkingen'!C136*'Rechte aftakkingen'!V136</f>
        <v>0</v>
      </c>
      <c r="E255" s="350">
        <f>'Rechte aftakkingen'!Z136</f>
        <v>0</v>
      </c>
    </row>
    <row r="256" spans="1:5" ht="15" customHeight="1" thickBot="1">
      <c r="A256" s="362" t="str">
        <f>'Rechte aftakkingen'!J138</f>
        <v>None</v>
      </c>
      <c r="B256" s="349" t="str">
        <f>'Rechte aftakkingen'!F139</f>
        <v>-RctS---0--Options None</v>
      </c>
      <c r="C256" s="298">
        <f>'Rechte aftakkingen'!C140</f>
        <v>0</v>
      </c>
      <c r="D256" s="298">
        <f>'Rechte aftakkingen'!C140*'Rechte aftakkingen'!V140</f>
        <v>0</v>
      </c>
      <c r="E256" s="351">
        <f>'Rechte aftakkingen'!Z140</f>
        <v>0</v>
      </c>
    </row>
    <row r="257" spans="1:5" ht="15" customHeight="1">
      <c r="A257" s="346" t="str">
        <f>informatieblad!D21</f>
        <v>Kanalen met Klep  (RctV)</v>
      </c>
      <c r="B257" s="364"/>
      <c r="C257" s="296"/>
      <c r="D257" s="296"/>
      <c r="E257" s="365"/>
    </row>
    <row r="258" spans="1:5" ht="15" customHeight="1">
      <c r="A258" s="352" t="str">
        <f>'kanalen met klep'!J20</f>
        <v>None</v>
      </c>
      <c r="B258" s="348" t="str">
        <f>'kanalen met klep'!F21</f>
        <v>-RctV-------Options None</v>
      </c>
      <c r="C258" s="297">
        <f>'kanalen met klep'!C22</f>
        <v>0</v>
      </c>
      <c r="D258" s="297">
        <f>'kanalen met klep'!C22*'kanalen met klep'!O22</f>
        <v>0</v>
      </c>
      <c r="E258" s="350">
        <f>IF(C258=0,0,IF(C258&gt;0,'kanalen met klep'!S22))</f>
        <v>0</v>
      </c>
    </row>
    <row r="259" spans="1:5" ht="15" customHeight="1">
      <c r="A259" s="352" t="str">
        <f>'kanalen met klep'!J24</f>
        <v>None</v>
      </c>
      <c r="B259" s="348" t="str">
        <f>'kanalen met klep'!F25</f>
        <v>-RctV-------Options None</v>
      </c>
      <c r="C259" s="297">
        <f>'kanalen met klep'!C26</f>
        <v>0</v>
      </c>
      <c r="D259" s="297">
        <f>'kanalen met klep'!C26*'kanalen met klep'!O26</f>
        <v>0</v>
      </c>
      <c r="E259" s="350">
        <f>IF(C259=0,0,IF(C259&gt;0,'kanalen met klep'!S26))</f>
        <v>0</v>
      </c>
    </row>
    <row r="260" spans="1:5" ht="15" customHeight="1">
      <c r="A260" s="352" t="str">
        <f>'kanalen met klep'!J28</f>
        <v>None</v>
      </c>
      <c r="B260" s="348" t="str">
        <f>'kanalen met klep'!F29</f>
        <v>-RctV-------Options None</v>
      </c>
      <c r="C260" s="297">
        <f>'kanalen met klep'!C30</f>
        <v>0</v>
      </c>
      <c r="D260" s="297">
        <f>'kanalen met klep'!C30*'kanalen met klep'!O30</f>
        <v>0</v>
      </c>
      <c r="E260" s="350">
        <f>IF(C260=0,0,IF(C260&gt;0,'kanalen met klep'!S30))</f>
        <v>0</v>
      </c>
    </row>
    <row r="261" spans="1:5" ht="15" customHeight="1">
      <c r="A261" s="352" t="str">
        <f>'kanalen met klep'!J32</f>
        <v>None</v>
      </c>
      <c r="B261" s="348" t="str">
        <f>'kanalen met klep'!F33</f>
        <v>-RctV-------Options None</v>
      </c>
      <c r="C261" s="297">
        <f>'kanalen met klep'!C34</f>
        <v>0</v>
      </c>
      <c r="D261" s="297">
        <f>'kanalen met klep'!C34*'kanalen met klep'!O34</f>
        <v>0</v>
      </c>
      <c r="E261" s="350">
        <f>IF(C261=0,0,IF(C261&gt;0,'kanalen met klep'!S34))</f>
        <v>0</v>
      </c>
    </row>
    <row r="262" spans="1:5" ht="15" customHeight="1">
      <c r="A262" s="352" t="str">
        <f>'kanalen met klep'!J36</f>
        <v>None</v>
      </c>
      <c r="B262" s="348" t="str">
        <f>'kanalen met klep'!F37</f>
        <v>-RctV-------Options None</v>
      </c>
      <c r="C262" s="297">
        <f>'kanalen met klep'!C38</f>
        <v>0</v>
      </c>
      <c r="D262" s="297">
        <f>'kanalen met klep'!C38*'kanalen met klep'!O38</f>
        <v>0</v>
      </c>
      <c r="E262" s="350">
        <f>IF(C262=0,0,IF(C262&gt;0,'kanalen met klep'!S38))</f>
        <v>0</v>
      </c>
    </row>
    <row r="263" spans="1:5" ht="15" customHeight="1">
      <c r="A263" s="352" t="str">
        <f>'kanalen met klep'!J40</f>
        <v>None</v>
      </c>
      <c r="B263" s="348" t="str">
        <f>'kanalen met klep'!F41</f>
        <v>-RctV-------Options None</v>
      </c>
      <c r="C263" s="297">
        <f>'kanalen met klep'!C42</f>
        <v>0</v>
      </c>
      <c r="D263" s="297">
        <f>'kanalen met klep'!C42*'kanalen met klep'!O42</f>
        <v>0</v>
      </c>
      <c r="E263" s="350">
        <f>IF(C263=0,0,IF(C263&gt;0,'kanalen met klep'!S42))</f>
        <v>0</v>
      </c>
    </row>
    <row r="264" spans="1:5" ht="15" customHeight="1">
      <c r="A264" s="352" t="str">
        <f>'kanalen met klep'!J44</f>
        <v>None</v>
      </c>
      <c r="B264" s="348" t="str">
        <f>'kanalen met klep'!F45</f>
        <v>-RctV-------Options None</v>
      </c>
      <c r="C264" s="297">
        <f>'kanalen met klep'!C46</f>
        <v>0</v>
      </c>
      <c r="D264" s="297">
        <f>'kanalen met klep'!C46*'kanalen met klep'!O46</f>
        <v>0</v>
      </c>
      <c r="E264" s="350">
        <f>IF(C264=0,0,IF(C264&gt;0,'kanalen met klep'!S46))</f>
        <v>0</v>
      </c>
    </row>
    <row r="265" spans="1:5" ht="15" customHeight="1">
      <c r="A265" s="352" t="str">
        <f>'kanalen met klep'!J48</f>
        <v>None</v>
      </c>
      <c r="B265" s="348" t="str">
        <f>'kanalen met klep'!F49</f>
        <v>-RctV-------Options None</v>
      </c>
      <c r="C265" s="297">
        <f>'kanalen met klep'!C50</f>
        <v>0</v>
      </c>
      <c r="D265" s="297">
        <f>'kanalen met klep'!C50*'kanalen met klep'!O50</f>
        <v>0</v>
      </c>
      <c r="E265" s="350">
        <f>IF(C265=0,0,IF(C265&gt;0,'kanalen met klep'!S50))</f>
        <v>0</v>
      </c>
    </row>
    <row r="266" spans="1:5" ht="15" customHeight="1">
      <c r="A266" s="352" t="str">
        <f>'kanalen met klep'!J52</f>
        <v>None</v>
      </c>
      <c r="B266" s="348" t="str">
        <f>'kanalen met klep'!F53</f>
        <v>-RctV-------Options None</v>
      </c>
      <c r="C266" s="297">
        <f>'kanalen met klep'!C54</f>
        <v>0</v>
      </c>
      <c r="D266" s="297">
        <f>'kanalen met klep'!C54*'kanalen met klep'!O54</f>
        <v>0</v>
      </c>
      <c r="E266" s="350">
        <f>IF(C266=0,0,IF(C266&gt;0,'kanalen met klep'!S54))</f>
        <v>0</v>
      </c>
    </row>
    <row r="267" spans="1:5" ht="15" customHeight="1">
      <c r="A267" s="352" t="str">
        <f>'kanalen met klep'!J56</f>
        <v>None</v>
      </c>
      <c r="B267" s="348" t="str">
        <f>'kanalen met klep'!F57</f>
        <v>-RctV-------Options None</v>
      </c>
      <c r="C267" s="297">
        <f>'kanalen met klep'!C58</f>
        <v>0</v>
      </c>
      <c r="D267" s="297">
        <f>'kanalen met klep'!C58*'kanalen met klep'!O58</f>
        <v>0</v>
      </c>
      <c r="E267" s="350">
        <f>IF(C267=0,0,IF(C267&gt;0,'kanalen met klep'!S58))</f>
        <v>0</v>
      </c>
    </row>
    <row r="268" spans="1:5" ht="15" customHeight="1">
      <c r="A268" s="352" t="str">
        <f>'kanalen met klep'!J60</f>
        <v>None</v>
      </c>
      <c r="B268" s="348" t="str">
        <f>'kanalen met klep'!F61</f>
        <v>-RctV-------Options None</v>
      </c>
      <c r="C268" s="297">
        <f>'kanalen met klep'!C62</f>
        <v>0</v>
      </c>
      <c r="D268" s="297">
        <f>'kanalen met klep'!C62*'kanalen met klep'!O62</f>
        <v>0</v>
      </c>
      <c r="E268" s="350">
        <f>IF(C268=0,0,IF(C268&gt;0,'kanalen met klep'!S62))</f>
        <v>0</v>
      </c>
    </row>
    <row r="269" spans="1:5" ht="15" customHeight="1">
      <c r="A269" s="352" t="str">
        <f>'kanalen met klep'!J64</f>
        <v>None</v>
      </c>
      <c r="B269" s="348" t="str">
        <f>'kanalen met klep'!F65</f>
        <v>-RctV-------Options None</v>
      </c>
      <c r="C269" s="297">
        <f>'kanalen met klep'!C66</f>
        <v>0</v>
      </c>
      <c r="D269" s="297">
        <f>'kanalen met klep'!C66*'kanalen met klep'!O66</f>
        <v>0</v>
      </c>
      <c r="E269" s="350">
        <f>IF(C269=0,0,IF(C269&gt;0,'kanalen met klep'!S66))</f>
        <v>0</v>
      </c>
    </row>
    <row r="270" spans="1:5" ht="15" customHeight="1">
      <c r="A270" s="352" t="str">
        <f>'kanalen met klep'!J68</f>
        <v>None</v>
      </c>
      <c r="B270" s="348" t="str">
        <f>'kanalen met klep'!F69</f>
        <v>-RctV-------Options None</v>
      </c>
      <c r="C270" s="297">
        <f>'kanalen met klep'!C70</f>
        <v>0</v>
      </c>
      <c r="D270" s="297">
        <f>'kanalen met klep'!C70*'kanalen met klep'!O70</f>
        <v>0</v>
      </c>
      <c r="E270" s="350">
        <f>IF(C270=0,0,IF(C270&gt;0,'kanalen met klep'!S70))</f>
        <v>0</v>
      </c>
    </row>
    <row r="271" spans="1:5" ht="15" customHeight="1">
      <c r="A271" s="352" t="str">
        <f>'kanalen met klep'!J72</f>
        <v>None</v>
      </c>
      <c r="B271" s="348" t="str">
        <f>'kanalen met klep'!F73</f>
        <v>-RctV-------Options None</v>
      </c>
      <c r="C271" s="297">
        <f>'kanalen met klep'!C74</f>
        <v>0</v>
      </c>
      <c r="D271" s="297">
        <f>'kanalen met klep'!C74*'kanalen met klep'!O74</f>
        <v>0</v>
      </c>
      <c r="E271" s="350">
        <f>IF(C271=0,0,IF(C271&gt;0,'kanalen met klep'!S74))</f>
        <v>0</v>
      </c>
    </row>
    <row r="272" spans="1:5" ht="15" customHeight="1">
      <c r="A272" s="352" t="str">
        <f>'kanalen met klep'!J76</f>
        <v>None</v>
      </c>
      <c r="B272" s="348" t="str">
        <f>'kanalen met klep'!F77</f>
        <v>-RctV-------Options None</v>
      </c>
      <c r="C272" s="297">
        <f>'kanalen met klep'!C78</f>
        <v>0</v>
      </c>
      <c r="D272" s="297">
        <f>'kanalen met klep'!C78*'kanalen met klep'!O78</f>
        <v>0</v>
      </c>
      <c r="E272" s="350">
        <f>IF(C272=0,0,IF(C272&gt;0,'kanalen met klep'!S78))</f>
        <v>0</v>
      </c>
    </row>
    <row r="273" spans="1:5" ht="15" customHeight="1">
      <c r="A273" s="352" t="str">
        <f>'kanalen met klep'!J80</f>
        <v>None</v>
      </c>
      <c r="B273" s="348" t="str">
        <f>'kanalen met klep'!F81</f>
        <v>-RctV-------Options None</v>
      </c>
      <c r="C273" s="297">
        <f>'kanalen met klep'!C82</f>
        <v>0</v>
      </c>
      <c r="D273" s="297">
        <f>'kanalen met klep'!C82*'kanalen met klep'!O82</f>
        <v>0</v>
      </c>
      <c r="E273" s="350">
        <f>IF(C273=0,0,IF(C273&gt;0,'kanalen met klep'!S82))</f>
        <v>0</v>
      </c>
    </row>
    <row r="274" spans="1:5" ht="15" customHeight="1">
      <c r="A274" s="352" t="str">
        <f>'kanalen met klep'!J84</f>
        <v>None</v>
      </c>
      <c r="B274" s="348" t="str">
        <f>'kanalen met klep'!F85</f>
        <v>-RctV-------Options None</v>
      </c>
      <c r="C274" s="297">
        <f>'kanalen met klep'!C86</f>
        <v>0</v>
      </c>
      <c r="D274" s="297">
        <f>'kanalen met klep'!C86*'kanalen met klep'!O86</f>
        <v>0</v>
      </c>
      <c r="E274" s="350">
        <f>IF(C274=0,0,IF(C274&gt;0,'kanalen met klep'!S86))</f>
        <v>0</v>
      </c>
    </row>
    <row r="275" spans="1:5" ht="15" customHeight="1">
      <c r="A275" s="352" t="str">
        <f>'kanalen met klep'!J88</f>
        <v>None</v>
      </c>
      <c r="B275" s="348" t="str">
        <f>'kanalen met klep'!F89</f>
        <v>-RctV-------Options None</v>
      </c>
      <c r="C275" s="297">
        <f>'kanalen met klep'!C90</f>
        <v>0</v>
      </c>
      <c r="D275" s="297">
        <f>'kanalen met klep'!C90*'kanalen met klep'!O90</f>
        <v>0</v>
      </c>
      <c r="E275" s="350">
        <f>IF(C275=0,0,IF(C275&gt;0,'kanalen met klep'!S90))</f>
        <v>0</v>
      </c>
    </row>
    <row r="276" spans="1:5" ht="15" customHeight="1">
      <c r="A276" s="352" t="str">
        <f>'kanalen met klep'!J92</f>
        <v>None</v>
      </c>
      <c r="B276" s="348" t="str">
        <f>'kanalen met klep'!F93</f>
        <v>-RctV-------Options None</v>
      </c>
      <c r="C276" s="297">
        <f>'kanalen met klep'!C94</f>
        <v>0</v>
      </c>
      <c r="D276" s="297">
        <f>'kanalen met klep'!C94*'kanalen met klep'!O94</f>
        <v>0</v>
      </c>
      <c r="E276" s="350">
        <f>IF(C276=0,0,IF(C276&gt;0,'kanalen met klep'!S94))</f>
        <v>0</v>
      </c>
    </row>
    <row r="277" spans="1:5" ht="15" customHeight="1">
      <c r="A277" s="352" t="str">
        <f>'kanalen met klep'!J96</f>
        <v>None</v>
      </c>
      <c r="B277" s="348" t="str">
        <f>'kanalen met klep'!F97</f>
        <v>-RctV-------Options None</v>
      </c>
      <c r="C277" s="297">
        <f>'kanalen met klep'!C98</f>
        <v>0</v>
      </c>
      <c r="D277" s="297">
        <f>'kanalen met klep'!C98*'kanalen met klep'!O98</f>
        <v>0</v>
      </c>
      <c r="E277" s="350">
        <f>IF(C277=0,0,IF(C277&gt;0,'kanalen met klep'!S98))</f>
        <v>0</v>
      </c>
    </row>
    <row r="278" spans="1:5" ht="15" customHeight="1">
      <c r="A278" s="352" t="str">
        <f>'kanalen met klep'!J100</f>
        <v>None</v>
      </c>
      <c r="B278" s="348" t="str">
        <f>'kanalen met klep'!F101</f>
        <v>-RctV-------Options None</v>
      </c>
      <c r="C278" s="297">
        <f>'kanalen met klep'!C102</f>
        <v>0</v>
      </c>
      <c r="D278" s="297">
        <f>'kanalen met klep'!C102*'kanalen met klep'!O102</f>
        <v>0</v>
      </c>
      <c r="E278" s="350">
        <f>IF(C278=0,0,IF(C278&gt;0,'kanalen met klep'!S102))</f>
        <v>0</v>
      </c>
    </row>
    <row r="279" spans="1:5" ht="15" customHeight="1">
      <c r="A279" s="352" t="str">
        <f>'kanalen met klep'!J104</f>
        <v>None</v>
      </c>
      <c r="B279" s="348" t="str">
        <f>'kanalen met klep'!F105</f>
        <v>-RctV-------Options None</v>
      </c>
      <c r="C279" s="297">
        <f>'kanalen met klep'!C106</f>
        <v>0</v>
      </c>
      <c r="D279" s="297">
        <f>'kanalen met klep'!C106*'kanalen met klep'!O106</f>
        <v>0</v>
      </c>
      <c r="E279" s="350">
        <f>IF(C279=0,0,IF(C279&gt;0,'kanalen met klep'!S106))</f>
        <v>0</v>
      </c>
    </row>
    <row r="280" spans="1:5" ht="15" customHeight="1">
      <c r="A280" s="352" t="str">
        <f>'kanalen met klep'!J108</f>
        <v>None</v>
      </c>
      <c r="B280" s="348" t="str">
        <f>'kanalen met klep'!F109</f>
        <v>-RctV-------Options None</v>
      </c>
      <c r="C280" s="297">
        <f>'kanalen met klep'!C110</f>
        <v>0</v>
      </c>
      <c r="D280" s="297">
        <f>'kanalen met klep'!C110*'kanalen met klep'!O110</f>
        <v>0</v>
      </c>
      <c r="E280" s="350">
        <f>IF(C280=0,0,IF(C280&gt;0,'kanalen met klep'!S110))</f>
        <v>0</v>
      </c>
    </row>
    <row r="281" spans="1:5" ht="15" customHeight="1">
      <c r="A281" s="352" t="str">
        <f>'kanalen met klep'!J112</f>
        <v>None</v>
      </c>
      <c r="B281" s="348" t="str">
        <f>'kanalen met klep'!F113</f>
        <v>-RctV-------Options None</v>
      </c>
      <c r="C281" s="297">
        <f>'kanalen met klep'!C114</f>
        <v>0</v>
      </c>
      <c r="D281" s="297">
        <f>'kanalen met klep'!C114*'kanalen met klep'!O114</f>
        <v>0</v>
      </c>
      <c r="E281" s="350">
        <f>IF(C281=0,0,IF(C281&gt;0,'kanalen met klep'!S114))</f>
        <v>0</v>
      </c>
    </row>
    <row r="282" spans="1:5" ht="15" customHeight="1">
      <c r="A282" s="352" t="str">
        <f>'kanalen met klep'!J116</f>
        <v>None</v>
      </c>
      <c r="B282" s="348" t="str">
        <f>'kanalen met klep'!F117</f>
        <v>-RctV-------Options None</v>
      </c>
      <c r="C282" s="297">
        <f>'kanalen met klep'!C118</f>
        <v>0</v>
      </c>
      <c r="D282" s="297">
        <f>'kanalen met klep'!C118*'kanalen met klep'!O118</f>
        <v>0</v>
      </c>
      <c r="E282" s="350">
        <f>IF(C282=0,0,IF(C282&gt;0,'kanalen met klep'!S118))</f>
        <v>0</v>
      </c>
    </row>
    <row r="283" spans="1:5" ht="15" customHeight="1">
      <c r="A283" s="352" t="str">
        <f>'kanalen met klep'!J120</f>
        <v>None</v>
      </c>
      <c r="B283" s="348" t="str">
        <f>'kanalen met klep'!F121</f>
        <v>-RctV-------Options None</v>
      </c>
      <c r="C283" s="297">
        <f>'kanalen met klep'!C122</f>
        <v>0</v>
      </c>
      <c r="D283" s="297">
        <f>'kanalen met klep'!C122*'kanalen met klep'!O122</f>
        <v>0</v>
      </c>
      <c r="E283" s="350">
        <f>IF(C283=0,0,IF(C283&gt;0,'kanalen met klep'!S122))</f>
        <v>0</v>
      </c>
    </row>
    <row r="284" spans="1:5" ht="15" customHeight="1">
      <c r="A284" s="352" t="str">
        <f>'kanalen met klep'!J124</f>
        <v>None</v>
      </c>
      <c r="B284" s="348" t="str">
        <f>'kanalen met klep'!F125</f>
        <v>-RctV-------Options None</v>
      </c>
      <c r="C284" s="297">
        <f>'kanalen met klep'!C126</f>
        <v>0</v>
      </c>
      <c r="D284" s="297">
        <f>'kanalen met klep'!C126*'kanalen met klep'!O126</f>
        <v>0</v>
      </c>
      <c r="E284" s="350">
        <f>IF(C284=0,0,IF(C284&gt;0,'kanalen met klep'!S126))</f>
        <v>0</v>
      </c>
    </row>
    <row r="285" spans="1:5" ht="15" customHeight="1">
      <c r="A285" s="352" t="str">
        <f>'kanalen met klep'!J128</f>
        <v>None</v>
      </c>
      <c r="B285" s="348" t="str">
        <f>'kanalen met klep'!F129</f>
        <v>-RctV-------Options None</v>
      </c>
      <c r="C285" s="297">
        <f>'kanalen met klep'!C130</f>
        <v>0</v>
      </c>
      <c r="D285" s="297">
        <f>'kanalen met klep'!C130*'kanalen met klep'!O130</f>
        <v>0</v>
      </c>
      <c r="E285" s="350">
        <f>IF(C285=0,0,IF(C285&gt;0,'kanalen met klep'!S130))</f>
        <v>0</v>
      </c>
    </row>
    <row r="286" spans="1:5" ht="15" customHeight="1">
      <c r="A286" s="352" t="str">
        <f>'kanalen met klep'!J132</f>
        <v>None</v>
      </c>
      <c r="B286" s="348" t="str">
        <f>'kanalen met klep'!F133</f>
        <v>-RctV-------Options None</v>
      </c>
      <c r="C286" s="297">
        <f>'kanalen met klep'!C134</f>
        <v>0</v>
      </c>
      <c r="D286" s="297">
        <f>'kanalen met klep'!C134*'kanalen met klep'!O134</f>
        <v>0</v>
      </c>
      <c r="E286" s="350">
        <f>IF(C286=0,0,IF(C286&gt;0,'kanalen met klep'!S134))</f>
        <v>0</v>
      </c>
    </row>
    <row r="287" spans="1:5" ht="15" customHeight="1" thickBot="1">
      <c r="A287" s="430" t="str">
        <f>'kanalen met klep'!J136</f>
        <v>None</v>
      </c>
      <c r="B287" s="349" t="str">
        <f>'kanalen met klep'!F137</f>
        <v>-RctV-------Options None</v>
      </c>
      <c r="C287" s="298">
        <f>'kanalen met klep'!C138</f>
        <v>0</v>
      </c>
      <c r="D287" s="298">
        <f>'kanalen met klep'!C138*'kanalen met klep'!O138</f>
        <v>0</v>
      </c>
      <c r="E287" s="351">
        <f>IF(C287=0,0,IF(C287&gt;0,'kanalen met klep'!S138))</f>
        <v>0</v>
      </c>
    </row>
    <row r="288" spans="1:5" ht="15" customHeight="1">
      <c r="A288" s="426" t="str">
        <f>informatieblad!D20</f>
        <v>Sprongstukken  (RctJ)</v>
      </c>
      <c r="B288" s="427"/>
      <c r="C288" s="428"/>
      <c r="D288" s="428"/>
      <c r="E288" s="429"/>
    </row>
    <row r="289" spans="1:5" ht="15" customHeight="1">
      <c r="A289" s="361" t="str">
        <f>Sprongstukken!L20</f>
        <v>None</v>
      </c>
      <c r="B289" s="348" t="str">
        <f>Sprongstukken!F21</f>
        <v>-RctJ----0-0-0--0-0---Options None</v>
      </c>
      <c r="C289" s="297">
        <f>Sprongstukken!C22</f>
        <v>0</v>
      </c>
      <c r="D289" s="297">
        <f>Sprongstukken!C22*Sprongstukken!X22</f>
        <v>0</v>
      </c>
      <c r="E289" s="350">
        <f>Sprongstukken!AB22</f>
        <v>0</v>
      </c>
    </row>
    <row r="290" spans="1:5" ht="15" customHeight="1">
      <c r="A290" s="361" t="str">
        <f>Sprongstukken!L24</f>
        <v>None</v>
      </c>
      <c r="B290" s="348" t="str">
        <f>Sprongstukken!F25</f>
        <v>-RctJ----0-0-0--0-0---Options None</v>
      </c>
      <c r="C290" s="297">
        <f>Sprongstukken!C26</f>
        <v>0</v>
      </c>
      <c r="D290" s="297">
        <f>Sprongstukken!C26*Sprongstukken!X26</f>
        <v>0</v>
      </c>
      <c r="E290" s="350">
        <f>Sprongstukken!AB26</f>
        <v>0</v>
      </c>
    </row>
    <row r="291" spans="1:5" ht="15" customHeight="1">
      <c r="A291" s="361" t="str">
        <f>Sprongstukken!L28</f>
        <v>None</v>
      </c>
      <c r="B291" s="348" t="str">
        <f>Sprongstukken!F29</f>
        <v>-RctJ----0-0-0--0-0---Options None</v>
      </c>
      <c r="C291" s="297">
        <f>Sprongstukken!C30</f>
        <v>0</v>
      </c>
      <c r="D291" s="297">
        <f>Sprongstukken!C30*Sprongstukken!X30</f>
        <v>0</v>
      </c>
      <c r="E291" s="350">
        <f>Sprongstukken!AB30</f>
        <v>0</v>
      </c>
    </row>
    <row r="292" spans="1:5" ht="15" customHeight="1">
      <c r="A292" s="361" t="str">
        <f>Sprongstukken!L32</f>
        <v>None</v>
      </c>
      <c r="B292" s="348" t="str">
        <f>Sprongstukken!F33</f>
        <v>-RctJ----0-0-0--0-0---Options None</v>
      </c>
      <c r="C292" s="297">
        <f>Sprongstukken!C34</f>
        <v>0</v>
      </c>
      <c r="D292" s="297">
        <f>Sprongstukken!C34*Sprongstukken!X34</f>
        <v>0</v>
      </c>
      <c r="E292" s="350">
        <f>Sprongstukken!AB34</f>
        <v>0</v>
      </c>
    </row>
    <row r="293" spans="1:5" ht="15" customHeight="1">
      <c r="A293" s="361" t="str">
        <f>Sprongstukken!L36</f>
        <v>None</v>
      </c>
      <c r="B293" s="348" t="str">
        <f>Sprongstukken!F37</f>
        <v>-RctJ----0-0-0--0-0---Options None</v>
      </c>
      <c r="C293" s="297">
        <f>Sprongstukken!C38</f>
        <v>0</v>
      </c>
      <c r="D293" s="297">
        <f>Sprongstukken!C38*Sprongstukken!X38</f>
        <v>0</v>
      </c>
      <c r="E293" s="350">
        <f>Sprongstukken!AB38</f>
        <v>0</v>
      </c>
    </row>
    <row r="294" spans="1:5" ht="15" customHeight="1">
      <c r="A294" s="361" t="str">
        <f>Sprongstukken!L40</f>
        <v>None</v>
      </c>
      <c r="B294" s="348" t="str">
        <f>Sprongstukken!F41</f>
        <v>-RctJ----0-0-0--0-0---Options None</v>
      </c>
      <c r="C294" s="297">
        <f>Sprongstukken!C42</f>
        <v>0</v>
      </c>
      <c r="D294" s="297">
        <f>Sprongstukken!C42*Sprongstukken!X42</f>
        <v>0</v>
      </c>
      <c r="E294" s="350">
        <f>Sprongstukken!AB42</f>
        <v>0</v>
      </c>
    </row>
    <row r="295" spans="1:5" ht="15" customHeight="1">
      <c r="A295" s="361" t="str">
        <f>Sprongstukken!L44</f>
        <v>None</v>
      </c>
      <c r="B295" s="348" t="str">
        <f>Sprongstukken!F45</f>
        <v>-RctJ----0-0-0--0-0---Options None</v>
      </c>
      <c r="C295" s="297">
        <f>Sprongstukken!C46</f>
        <v>0</v>
      </c>
      <c r="D295" s="297">
        <f>Sprongstukken!C46*Sprongstukken!X46</f>
        <v>0</v>
      </c>
      <c r="E295" s="350">
        <f>Sprongstukken!AB46</f>
        <v>0</v>
      </c>
    </row>
    <row r="296" spans="1:5" ht="15" customHeight="1">
      <c r="A296" s="361" t="str">
        <f>Sprongstukken!L48</f>
        <v>None</v>
      </c>
      <c r="B296" s="348" t="str">
        <f>Sprongstukken!F49</f>
        <v>-RctJ----0-0-0--0-0---Options None</v>
      </c>
      <c r="C296" s="297">
        <f>Sprongstukken!C50</f>
        <v>0</v>
      </c>
      <c r="D296" s="297">
        <f>Sprongstukken!C50*Sprongstukken!X50</f>
        <v>0</v>
      </c>
      <c r="E296" s="350">
        <f>Sprongstukken!AB50</f>
        <v>0</v>
      </c>
    </row>
    <row r="297" spans="1:5" ht="15" customHeight="1">
      <c r="A297" s="361" t="str">
        <f>Sprongstukken!L52</f>
        <v>None</v>
      </c>
      <c r="B297" s="348" t="str">
        <f>Sprongstukken!F53</f>
        <v>-RctJ----0-0-0--0-0---Options None</v>
      </c>
      <c r="C297" s="297">
        <f>Sprongstukken!C54</f>
        <v>0</v>
      </c>
      <c r="D297" s="297">
        <f>Sprongstukken!C54*Sprongstukken!X54</f>
        <v>0</v>
      </c>
      <c r="E297" s="350">
        <f>Sprongstukken!AB54</f>
        <v>0</v>
      </c>
    </row>
    <row r="298" spans="1:5" ht="15" customHeight="1">
      <c r="A298" s="361" t="str">
        <f>Sprongstukken!L56</f>
        <v>None</v>
      </c>
      <c r="B298" s="348" t="str">
        <f>Sprongstukken!F57</f>
        <v>-RctJ----0-0-0--0-0---Options None</v>
      </c>
      <c r="C298" s="297">
        <f>Sprongstukken!C58</f>
        <v>0</v>
      </c>
      <c r="D298" s="297">
        <f>Sprongstukken!C58*Sprongstukken!X58</f>
        <v>0</v>
      </c>
      <c r="E298" s="350">
        <f>Sprongstukken!AB58</f>
        <v>0</v>
      </c>
    </row>
    <row r="299" spans="1:5" ht="15" customHeight="1">
      <c r="A299" s="361" t="str">
        <f>Sprongstukken!L60</f>
        <v>None</v>
      </c>
      <c r="B299" s="348" t="str">
        <f>Sprongstukken!F61</f>
        <v>-RctJ----0-0-0--0-0---Options None</v>
      </c>
      <c r="C299" s="297">
        <f>Sprongstukken!C562</f>
        <v>0</v>
      </c>
      <c r="D299" s="297">
        <f>Sprongstukken!C62*Sprongstukken!X62</f>
        <v>0</v>
      </c>
      <c r="E299" s="350">
        <f>Sprongstukken!AB62</f>
        <v>0</v>
      </c>
    </row>
    <row r="300" spans="1:5" ht="15" customHeight="1">
      <c r="A300" s="361" t="str">
        <f>Sprongstukken!L64</f>
        <v>None</v>
      </c>
      <c r="B300" s="348" t="str">
        <f>Sprongstukken!F65</f>
        <v>-RctJ----0-0-0--0-0---Options None</v>
      </c>
      <c r="C300" s="297">
        <f>Sprongstukken!C66</f>
        <v>0</v>
      </c>
      <c r="D300" s="297">
        <f>Sprongstukken!C66*Sprongstukken!X66</f>
        <v>0</v>
      </c>
      <c r="E300" s="350">
        <f>Sprongstukken!AB66</f>
        <v>0</v>
      </c>
    </row>
    <row r="301" spans="1:5" ht="15" customHeight="1">
      <c r="A301" s="361" t="str">
        <f>Sprongstukken!L68</f>
        <v>None</v>
      </c>
      <c r="B301" s="348" t="str">
        <f>Sprongstukken!F69</f>
        <v>-RctJ----0-0-0--0-0---Options None</v>
      </c>
      <c r="C301" s="297">
        <f>Sprongstukken!C70</f>
        <v>0</v>
      </c>
      <c r="D301" s="297">
        <f>Sprongstukken!C70*Sprongstukken!X70</f>
        <v>0</v>
      </c>
      <c r="E301" s="350">
        <f>Sprongstukken!AB70</f>
        <v>0</v>
      </c>
    </row>
    <row r="302" spans="1:5" ht="15" customHeight="1">
      <c r="A302" s="361" t="str">
        <f>Sprongstukken!L72</f>
        <v>None</v>
      </c>
      <c r="B302" s="348" t="str">
        <f>Sprongstukken!F73</f>
        <v>-RctJ----0-0-0--0-0---Options None</v>
      </c>
      <c r="C302" s="297">
        <f>Sprongstukken!C74</f>
        <v>0</v>
      </c>
      <c r="D302" s="297">
        <f>Sprongstukken!C74*Sprongstukken!X74</f>
        <v>0</v>
      </c>
      <c r="E302" s="350">
        <f>Sprongstukken!AB74</f>
        <v>0</v>
      </c>
    </row>
    <row r="303" spans="1:5" ht="15" customHeight="1">
      <c r="A303" s="361" t="str">
        <f>Sprongstukken!L76</f>
        <v>None</v>
      </c>
      <c r="B303" s="348" t="str">
        <f>Sprongstukken!F77</f>
        <v>-RctJ----0-0-0--0-0---Options None</v>
      </c>
      <c r="C303" s="297">
        <f>Sprongstukken!C78</f>
        <v>0</v>
      </c>
      <c r="D303" s="297">
        <f>Sprongstukken!C78*Sprongstukken!X78</f>
        <v>0</v>
      </c>
      <c r="E303" s="350">
        <f>Sprongstukken!AB78</f>
        <v>0</v>
      </c>
    </row>
    <row r="304" spans="1:5" ht="15" customHeight="1">
      <c r="A304" s="361" t="str">
        <f>Sprongstukken!L80</f>
        <v>None</v>
      </c>
      <c r="B304" s="348" t="str">
        <f>Sprongstukken!F81</f>
        <v>-RctJ----0-0-0--0-0---Options None</v>
      </c>
      <c r="C304" s="297">
        <f>Sprongstukken!C82</f>
        <v>0</v>
      </c>
      <c r="D304" s="297">
        <f>Sprongstukken!C82*Sprongstukken!X82</f>
        <v>0</v>
      </c>
      <c r="E304" s="350">
        <f>Sprongstukken!AB82</f>
        <v>0</v>
      </c>
    </row>
    <row r="305" spans="1:5" ht="15" customHeight="1">
      <c r="A305" s="361" t="str">
        <f>Sprongstukken!L84</f>
        <v>None</v>
      </c>
      <c r="B305" s="348" t="str">
        <f>Sprongstukken!F85</f>
        <v>-RctJ----0-0-0--0-0---Options None</v>
      </c>
      <c r="C305" s="297">
        <f>Sprongstukken!C86</f>
        <v>0</v>
      </c>
      <c r="D305" s="297">
        <f>Sprongstukken!C86*Sprongstukken!X86</f>
        <v>0</v>
      </c>
      <c r="E305" s="350">
        <f>Sprongstukken!AB86</f>
        <v>0</v>
      </c>
    </row>
    <row r="306" spans="1:5" ht="15" customHeight="1">
      <c r="A306" s="361" t="str">
        <f>Sprongstukken!L88</f>
        <v>None</v>
      </c>
      <c r="B306" s="348" t="str">
        <f>Sprongstukken!F89</f>
        <v>-RctJ----0-0-0--0-0---Options None</v>
      </c>
      <c r="C306" s="297">
        <f>Sprongstukken!C90</f>
        <v>0</v>
      </c>
      <c r="D306" s="297">
        <f>Sprongstukken!C90*Sprongstukken!X90</f>
        <v>0</v>
      </c>
      <c r="E306" s="350">
        <f>Sprongstukken!AB90</f>
        <v>0</v>
      </c>
    </row>
    <row r="307" spans="1:5" ht="15" customHeight="1">
      <c r="A307" s="361" t="str">
        <f>Sprongstukken!L92</f>
        <v>None</v>
      </c>
      <c r="B307" s="348" t="str">
        <f>Sprongstukken!F93</f>
        <v>-RctJ----0-0-0--0-0---Options None</v>
      </c>
      <c r="C307" s="297">
        <f>Sprongstukken!C94</f>
        <v>0</v>
      </c>
      <c r="D307" s="297">
        <f>Sprongstukken!C94*Sprongstukken!X94</f>
        <v>0</v>
      </c>
      <c r="E307" s="350">
        <f>Sprongstukken!AB94</f>
        <v>0</v>
      </c>
    </row>
    <row r="308" spans="1:5" ht="15" customHeight="1">
      <c r="A308" s="361" t="str">
        <f>Sprongstukken!L96</f>
        <v>None</v>
      </c>
      <c r="B308" s="348" t="str">
        <f>Sprongstukken!F97</f>
        <v>-RctJ----0-0-0--0-0---Options None</v>
      </c>
      <c r="C308" s="297">
        <f>Sprongstukken!C98</f>
        <v>0</v>
      </c>
      <c r="D308" s="297">
        <f>Sprongstukken!C98*Sprongstukken!X98</f>
        <v>0</v>
      </c>
      <c r="E308" s="350">
        <f>Sprongstukken!AB98</f>
        <v>0</v>
      </c>
    </row>
    <row r="309" spans="1:5" ht="15" customHeight="1">
      <c r="A309" s="361" t="str">
        <f>Sprongstukken!L100</f>
        <v>None</v>
      </c>
      <c r="B309" s="348" t="str">
        <f>Sprongstukken!F101</f>
        <v>-RctJ----0-0-0--0-0---Options None</v>
      </c>
      <c r="C309" s="297">
        <f>Sprongstukken!C102</f>
        <v>0</v>
      </c>
      <c r="D309" s="297">
        <f>Sprongstukken!C102*Sprongstukken!X102</f>
        <v>0</v>
      </c>
      <c r="E309" s="350">
        <f>Sprongstukken!AB102</f>
        <v>0</v>
      </c>
    </row>
    <row r="310" spans="1:5" ht="15" customHeight="1">
      <c r="A310" s="363" t="str">
        <f>Sprongstukken!L104</f>
        <v>None</v>
      </c>
      <c r="B310" s="348" t="str">
        <f>Sprongstukken!F105</f>
        <v>-RctJ----0-0-0--0-0---Options None</v>
      </c>
      <c r="C310" s="297">
        <f>Sprongstukken!C106</f>
        <v>0</v>
      </c>
      <c r="D310" s="297">
        <f>Sprongstukken!C106*Sprongstukken!X106</f>
        <v>0</v>
      </c>
      <c r="E310" s="350">
        <f>Sprongstukken!AB106</f>
        <v>0</v>
      </c>
    </row>
    <row r="311" spans="1:5" ht="15" customHeight="1">
      <c r="A311" s="361" t="str">
        <f>Sprongstukken!L108</f>
        <v>None</v>
      </c>
      <c r="B311" s="348" t="str">
        <f>Sprongstukken!F109</f>
        <v>-RctJ----0-0-0--0-0---Options None</v>
      </c>
      <c r="C311" s="297">
        <f>Sprongstukken!C110</f>
        <v>0</v>
      </c>
      <c r="D311" s="297">
        <f>Sprongstukken!C110*Sprongstukken!X110</f>
        <v>0</v>
      </c>
      <c r="E311" s="350">
        <f>Sprongstukken!AB110</f>
        <v>0</v>
      </c>
    </row>
    <row r="312" spans="1:5" ht="15" customHeight="1">
      <c r="A312" s="361" t="str">
        <f>Sprongstukken!L112</f>
        <v>None</v>
      </c>
      <c r="B312" s="348" t="str">
        <f>Sprongstukken!F113</f>
        <v>-RctJ----0-0-0--0-0---Options None</v>
      </c>
      <c r="C312" s="297">
        <f>Sprongstukken!C114</f>
        <v>0</v>
      </c>
      <c r="D312" s="297">
        <f>Sprongstukken!C114*Sprongstukken!X114</f>
        <v>0</v>
      </c>
      <c r="E312" s="350">
        <f>Sprongstukken!AB114</f>
        <v>0</v>
      </c>
    </row>
    <row r="313" spans="1:5" ht="15" customHeight="1">
      <c r="A313" s="361" t="str">
        <f>Sprongstukken!L116</f>
        <v>None</v>
      </c>
      <c r="B313" s="348" t="str">
        <f>Sprongstukken!F117</f>
        <v>-RctJ----0-0-0--0-0---Options None</v>
      </c>
      <c r="C313" s="297">
        <f>Sprongstukken!C118</f>
        <v>0</v>
      </c>
      <c r="D313" s="297">
        <f>Sprongstukken!C118*Sprongstukken!X118</f>
        <v>0</v>
      </c>
      <c r="E313" s="350">
        <f>Sprongstukken!AB118</f>
        <v>0</v>
      </c>
    </row>
    <row r="314" spans="1:5" ht="15" customHeight="1">
      <c r="A314" s="361" t="str">
        <f>Sprongstukken!L120</f>
        <v>None</v>
      </c>
      <c r="B314" s="348" t="str">
        <f>Sprongstukken!F121</f>
        <v>-RctJ----0-0-0--0-0---Options None</v>
      </c>
      <c r="C314" s="297">
        <f>Sprongstukken!C122</f>
        <v>0</v>
      </c>
      <c r="D314" s="297">
        <f>Sprongstukken!C122*Sprongstukken!X122</f>
        <v>0</v>
      </c>
      <c r="E314" s="350">
        <f>Sprongstukken!AB122</f>
        <v>0</v>
      </c>
    </row>
    <row r="315" spans="1:5" ht="15" customHeight="1">
      <c r="A315" s="361" t="str">
        <f>Sprongstukken!L124</f>
        <v>None</v>
      </c>
      <c r="B315" s="348" t="str">
        <f>Sprongstukken!F125</f>
        <v>-RctJ----0-0-0--0-0---Options None</v>
      </c>
      <c r="C315" s="297">
        <f>Sprongstukken!C126</f>
        <v>0</v>
      </c>
      <c r="D315" s="297">
        <f>Sprongstukken!C126*Sprongstukken!X126</f>
        <v>0</v>
      </c>
      <c r="E315" s="350">
        <f>Sprongstukken!AB126</f>
        <v>0</v>
      </c>
    </row>
    <row r="316" spans="1:5" ht="15" customHeight="1">
      <c r="A316" s="361" t="str">
        <f>Sprongstukken!L128</f>
        <v>None</v>
      </c>
      <c r="B316" s="348" t="str">
        <f>Sprongstukken!F129</f>
        <v>-RctJ----0-0-0--0-0---Options None</v>
      </c>
      <c r="C316" s="297">
        <f>Sprongstukken!C130</f>
        <v>0</v>
      </c>
      <c r="D316" s="297">
        <f>Sprongstukken!C130*Sprongstukken!X130</f>
        <v>0</v>
      </c>
      <c r="E316" s="350">
        <f>Sprongstukken!AB130</f>
        <v>0</v>
      </c>
    </row>
    <row r="317" spans="1:5" ht="15" customHeight="1">
      <c r="A317" s="361" t="str">
        <f>Sprongstukken!L132</f>
        <v>None</v>
      </c>
      <c r="B317" s="348" t="str">
        <f>Sprongstukken!F133</f>
        <v>-RctJ----0-0-0--0-0---Options None</v>
      </c>
      <c r="C317" s="297">
        <f>Sprongstukken!C134</f>
        <v>0</v>
      </c>
      <c r="D317" s="297">
        <f>Sprongstukken!C134*Sprongstukken!X134</f>
        <v>0</v>
      </c>
      <c r="E317" s="350">
        <f>Sprongstukken!AB134</f>
        <v>0</v>
      </c>
    </row>
    <row r="318" spans="1:5" ht="15" customHeight="1" thickBot="1">
      <c r="A318" s="362" t="str">
        <f>Sprongstukken!L136</f>
        <v>None</v>
      </c>
      <c r="B318" s="349" t="str">
        <f>Sprongstukken!F137</f>
        <v>-RctJ----0-0-0--0-0---Options None</v>
      </c>
      <c r="C318" s="298">
        <f>Sprongstukken!C138</f>
        <v>0</v>
      </c>
      <c r="D318" s="298">
        <f>Sprongstukken!C138*Sprongstukken!X138</f>
        <v>0</v>
      </c>
      <c r="E318" s="351">
        <f>Sprongstukken!AB138</f>
        <v>0</v>
      </c>
    </row>
    <row r="319" spans="1:5" ht="15" customHeight="1">
      <c r="A319" s="411" t="str">
        <f>informatieblad!D22</f>
        <v>Kattenruggen  (RctK)</v>
      </c>
      <c r="C319" s="297"/>
      <c r="D319" s="297"/>
      <c r="E319" s="350"/>
    </row>
    <row r="320" spans="1:5" ht="15" customHeight="1">
      <c r="A320" s="363" t="str">
        <f>Kattenruggen!L16</f>
        <v>None</v>
      </c>
      <c r="B320" s="348" t="str">
        <f>Kattenruggen!D17</f>
        <v>-RctK--------none-Options None</v>
      </c>
      <c r="C320" s="297">
        <f>Kattenruggen!C18</f>
        <v>0</v>
      </c>
      <c r="D320" s="297">
        <f>Kattenruggen!P32</f>
        <v>0</v>
      </c>
      <c r="E320" s="350">
        <f>Kattenruggen!U32</f>
        <v>0</v>
      </c>
    </row>
    <row r="321" spans="1:5" ht="15" customHeight="1">
      <c r="A321" s="361" t="str">
        <f>Kattenruggen!L35</f>
        <v>None</v>
      </c>
      <c r="B321" s="348" t="str">
        <f>Kattenruggen!D36</f>
        <v>-RctK--------none-Options None</v>
      </c>
      <c r="C321" s="297">
        <f>Kattenruggen!C36</f>
        <v>0</v>
      </c>
      <c r="D321" s="297">
        <f>Kattenruggen!P51</f>
        <v>0</v>
      </c>
      <c r="E321" s="350">
        <f>Kattenruggen!U51</f>
        <v>0</v>
      </c>
    </row>
    <row r="322" spans="1:5" ht="15" customHeight="1">
      <c r="A322" s="361" t="str">
        <f>Kattenruggen!L54</f>
        <v>None</v>
      </c>
      <c r="B322" s="348" t="str">
        <f>Kattenruggen!D55</f>
        <v>-RctK--------none-Options None</v>
      </c>
      <c r="C322" s="297">
        <f>Kattenruggen!C56</f>
        <v>0</v>
      </c>
      <c r="D322" s="297">
        <f>Kattenruggen!P70</f>
        <v>0</v>
      </c>
      <c r="E322" s="350">
        <f>Kattenruggen!U70</f>
        <v>0</v>
      </c>
    </row>
    <row r="323" spans="1:5" ht="15" customHeight="1">
      <c r="A323" s="361" t="str">
        <f>Kattenruggen!L73</f>
        <v>None</v>
      </c>
      <c r="B323" s="348" t="str">
        <f>Kattenruggen!D74</f>
        <v>-RctK--------none-Options None</v>
      </c>
      <c r="C323" s="297">
        <f>Kattenruggen!C75</f>
        <v>0</v>
      </c>
      <c r="D323" s="297">
        <f>Kattenruggen!P89</f>
        <v>0</v>
      </c>
      <c r="E323" s="350">
        <f>Kattenruggen!U89</f>
        <v>0</v>
      </c>
    </row>
    <row r="324" spans="1:5" ht="15" customHeight="1">
      <c r="A324" s="361" t="str">
        <f>Kattenruggen!L92</f>
        <v>None</v>
      </c>
      <c r="B324" s="348" t="str">
        <f>Kattenruggen!D93</f>
        <v>-RctK--------none-Options None</v>
      </c>
      <c r="C324" s="297">
        <v>0</v>
      </c>
      <c r="D324" s="297">
        <f>Kattenruggen!P108</f>
        <v>0</v>
      </c>
      <c r="E324" s="350">
        <f>Kattenruggen!U108</f>
        <v>0</v>
      </c>
    </row>
    <row r="325" spans="1:5" ht="15" customHeight="1">
      <c r="A325" s="361" t="str">
        <f>Kattenruggen!L111</f>
        <v>None</v>
      </c>
      <c r="B325" s="348" t="str">
        <f>Kattenruggen!D112</f>
        <v>-RctK--------none-Options None</v>
      </c>
      <c r="C325" s="297">
        <f>Kattenruggen!C113</f>
        <v>0</v>
      </c>
      <c r="D325" s="297">
        <f>Kattenruggen!P127</f>
        <v>0</v>
      </c>
      <c r="E325" s="350">
        <f>Kattenruggen!U127</f>
        <v>0</v>
      </c>
    </row>
    <row r="326" spans="1:5" ht="15" customHeight="1">
      <c r="A326" s="361" t="str">
        <f>Kattenruggen!L130</f>
        <v>None</v>
      </c>
      <c r="B326" s="348" t="str">
        <f>Kattenruggen!D131</f>
        <v>-RctK--------none-Options None</v>
      </c>
      <c r="C326" s="297">
        <f>Kattenruggen!C132</f>
        <v>0</v>
      </c>
      <c r="D326" s="297">
        <f>Kattenruggen!P146</f>
        <v>0</v>
      </c>
      <c r="E326" s="350">
        <f>Kattenruggen!U146</f>
        <v>0</v>
      </c>
    </row>
    <row r="327" spans="1:5" ht="15" customHeight="1" thickBot="1">
      <c r="A327" s="406" t="str">
        <f>Kattenruggen!L149</f>
        <v>None</v>
      </c>
      <c r="B327" s="348" t="str">
        <f>Kattenruggen!D150</f>
        <v>-RctK--------none-Options None</v>
      </c>
      <c r="C327" s="297">
        <f>Kattenruggen!C151</f>
        <v>0</v>
      </c>
      <c r="D327" s="297">
        <f>Kattenruggen!P165</f>
        <v>0</v>
      </c>
      <c r="E327" s="350">
        <f>Kattenruggen!U165</f>
        <v>0</v>
      </c>
    </row>
    <row r="328" spans="1:5" ht="15" customHeight="1" thickBot="1">
      <c r="A328" s="407"/>
      <c r="B328" s="408" t="s">
        <v>11</v>
      </c>
      <c r="C328" s="409">
        <f>SUM(C10:C327)</f>
        <v>0</v>
      </c>
      <c r="D328" s="409">
        <f>SUM(D10:D327)</f>
        <v>0</v>
      </c>
      <c r="E328" s="410">
        <f>SUM(E10:E327)</f>
        <v>0</v>
      </c>
    </row>
  </sheetData>
  <sheetProtection algorithmName="SHA-512" hashValue="DU+QW0/u+SKT+fCSP6eAaQzrG2bdxJxTJHBYbHTZKV8X8jGzPkm+VePKJa45W0kAJJXnJzXMLKxr4iQroez1gQ==" saltValue="KJcs4hDWxgd5z3AbyUPLww==" spinCount="100000" sheet="1" objects="1" scenarios="1" autoFilter="0"/>
  <autoFilter ref="A8:E8" xr:uid="{7CAA5E53-2B4B-45C6-B88E-0FD8D7A3810C}"/>
  <phoneticPr fontId="10" type="noConversion"/>
  <hyperlinks>
    <hyperlink ref="G8" r:id="rId1" xr:uid="{D79CAF89-B93A-46A5-9CEF-38F2EE58A567}"/>
  </hyperlinks>
  <pageMargins left="0.25" right="0.25" top="0.75" bottom="0.75" header="0.3" footer="0.3"/>
  <pageSetup paperSize="8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AD90-0B2B-43AA-9BAF-57ADE2B8D80D}">
  <sheetPr codeName="Blad6">
    <tabColor rgb="FF92D050"/>
  </sheetPr>
  <dimension ref="A1:BB142"/>
  <sheetViews>
    <sheetView showGridLines="0" showZeros="0" view="pageBreakPreview" zoomScaleNormal="85" zoomScaleSheetLayoutView="100" workbookViewId="0">
      <pane xSplit="8" ySplit="16" topLeftCell="I17" activePane="bottomRight" state="frozen"/>
      <selection pane="bottomRight" activeCell="A21" sqref="A21:A23"/>
      <selection pane="bottomLeft" activeCell="A17" sqref="A17"/>
      <selection pane="topRight" activeCell="I1" sqref="I1"/>
    </sheetView>
  </sheetViews>
  <sheetFormatPr defaultColWidth="9.140625" defaultRowHeight="14.25"/>
  <cols>
    <col min="1" max="1" width="9.140625" style="64"/>
    <col min="2" max="4" width="13.7109375" style="64" customWidth="1"/>
    <col min="5" max="5" width="9.140625" style="64"/>
    <col min="6" max="6" width="10.7109375" style="64" customWidth="1"/>
    <col min="7" max="8" width="11.7109375" style="64" customWidth="1"/>
    <col min="9" max="9" width="50.7109375" style="64" customWidth="1"/>
    <col min="10" max="12" width="0" style="64" hidden="1" customWidth="1"/>
    <col min="13" max="13" width="9" style="64" hidden="1" customWidth="1"/>
    <col min="14" max="14" width="10.42578125" style="64" hidden="1" customWidth="1"/>
    <col min="15" max="15" width="21.140625" style="64" hidden="1" customWidth="1"/>
    <col min="16" max="16" width="10.42578125" style="64" hidden="1" customWidth="1"/>
    <col min="17" max="17" width="21" style="64" hidden="1" customWidth="1"/>
    <col min="18" max="18" width="24.85546875" style="64" hidden="1" customWidth="1"/>
    <col min="19" max="19" width="20.28515625" style="64" hidden="1" customWidth="1"/>
    <col min="20" max="20" width="16.28515625" style="64" hidden="1" customWidth="1"/>
    <col min="21" max="21" width="10.85546875" style="64" hidden="1" customWidth="1"/>
    <col min="22" max="22" width="12.42578125" style="64" hidden="1" customWidth="1"/>
    <col min="23" max="25" width="15.28515625" style="64" hidden="1" customWidth="1"/>
    <col min="26" max="26" width="16" style="64" hidden="1" customWidth="1"/>
    <col min="27" max="27" width="19.140625" style="64" hidden="1" customWidth="1"/>
    <col min="28" max="28" width="16.140625" style="64" hidden="1" customWidth="1"/>
    <col min="29" max="29" width="12.85546875" style="64" hidden="1" customWidth="1"/>
    <col min="30" max="30" width="14.85546875" style="64" hidden="1" customWidth="1"/>
    <col min="31" max="31" width="12.85546875" style="64" hidden="1" customWidth="1"/>
    <col min="32" max="32" width="9.42578125" style="64" hidden="1" customWidth="1"/>
    <col min="33" max="33" width="0" style="64" hidden="1" customWidth="1"/>
    <col min="34" max="34" width="1.7109375" style="64" hidden="1" customWidth="1"/>
    <col min="35" max="35" width="15.140625" style="83" hidden="1" customWidth="1"/>
    <col min="36" max="36" width="13.42578125" style="83" hidden="1" customWidth="1"/>
    <col min="37" max="37" width="14.28515625" style="83" hidden="1" customWidth="1"/>
    <col min="38" max="38" width="17" style="83" hidden="1" customWidth="1"/>
    <col min="39" max="39" width="14.28515625" style="83" hidden="1" customWidth="1"/>
    <col min="40" max="40" width="0" style="83" hidden="1" customWidth="1"/>
    <col min="41" max="41" width="13.28515625" style="83" hidden="1" customWidth="1"/>
    <col min="42" max="42" width="0" style="83" hidden="1" customWidth="1"/>
    <col min="43" max="43" width="1.7109375" style="64" hidden="1" customWidth="1"/>
    <col min="44" max="44" width="9.42578125" style="83" hidden="1" customWidth="1"/>
    <col min="45" max="45" width="1.7109375" style="64" hidden="1" customWidth="1"/>
    <col min="46" max="46" width="23.7109375" style="64" hidden="1" customWidth="1"/>
    <col min="47" max="47" width="12.5703125" style="83" hidden="1" customWidth="1"/>
    <col min="48" max="48" width="1.7109375" style="64" hidden="1" customWidth="1"/>
    <col min="49" max="49" width="14.42578125" style="83" hidden="1" customWidth="1"/>
    <col min="50" max="50" width="8.7109375" style="83" hidden="1" customWidth="1"/>
    <col min="51" max="52" width="10.140625" style="83" hidden="1" customWidth="1"/>
    <col min="53" max="53" width="11.5703125" style="83" hidden="1" customWidth="1"/>
    <col min="54" max="54" width="10.140625" style="83" hidden="1" customWidth="1"/>
    <col min="55" max="16384" width="9.140625" style="64"/>
  </cols>
  <sheetData>
    <row r="1" spans="1:18">
      <c r="A1" s="61"/>
      <c r="B1" s="62"/>
      <c r="C1" s="62"/>
      <c r="D1" s="62"/>
      <c r="E1" s="62"/>
      <c r="F1" s="62"/>
      <c r="G1" s="62"/>
      <c r="H1" s="63"/>
      <c r="M1" s="65" t="str">
        <f>informatieblad!F12&amp;" "&amp;informatieblad!D12</f>
        <v>Total aantal of Rechte Kanalen  (RctD)</v>
      </c>
      <c r="N1" s="62"/>
      <c r="O1" s="62"/>
      <c r="P1" s="62"/>
      <c r="Q1" s="62"/>
      <c r="R1" s="66">
        <f>C23+C27+C31+C35+C39+C43+C47+C51+C55+C59+C61+C65+C69+C75+C79+C83+C87+C91+C95+C99+C103+C107+C111+C115+C119+C123+C127+C131+C135+C139</f>
        <v>0</v>
      </c>
    </row>
    <row r="2" spans="1:18">
      <c r="A2" s="67"/>
      <c r="H2" s="68"/>
      <c r="M2" s="69" t="str">
        <f>informatieblad!F13</f>
        <v>Total purchase price</v>
      </c>
      <c r="R2" s="343">
        <f>R23+R27+R31+R35+R39+R43+R47+R51+R55+R59+R63+R67+R71+R75+R79+R83+R87+R91+R95+R99+R103+R107+R111+R115+R119+R123+R127+R131+R135+R139</f>
        <v>0</v>
      </c>
    </row>
    <row r="3" spans="1:18" ht="15" thickBot="1">
      <c r="A3" s="67"/>
      <c r="H3" s="68"/>
      <c r="M3" s="71" t="str">
        <f>informatieblad!F14</f>
        <v>Total sales price</v>
      </c>
      <c r="N3" s="72"/>
      <c r="O3" s="72"/>
      <c r="P3" s="72"/>
      <c r="Q3" s="72"/>
      <c r="R3" s="238">
        <f>S23+S27+S35+S39+S43+S47+S51+S55+S59+S63+S67+S71+S75+S79+S83+S87+S91+S95+S99+S103+S107+S111+S115+S119+S123+S127+S131+S135+S139</f>
        <v>0</v>
      </c>
    </row>
    <row r="4" spans="1:18">
      <c r="A4" s="67"/>
      <c r="F4" s="432"/>
      <c r="H4" s="433" t="str">
        <f>informatieblad!D12</f>
        <v>Rechte Kanalen  (RctD)</v>
      </c>
    </row>
    <row r="5" spans="1:18">
      <c r="A5" s="67"/>
      <c r="H5" s="68"/>
    </row>
    <row r="6" spans="1:18">
      <c r="A6" s="67"/>
      <c r="F6" s="74"/>
      <c r="H6" s="68"/>
    </row>
    <row r="7" spans="1:18">
      <c r="A7" s="67"/>
      <c r="F7" s="75"/>
      <c r="H7" s="68"/>
    </row>
    <row r="8" spans="1:18">
      <c r="A8" s="67"/>
      <c r="F8" s="75"/>
      <c r="H8" s="68"/>
    </row>
    <row r="9" spans="1:18">
      <c r="A9" s="67"/>
      <c r="F9" s="75" t="s">
        <v>12</v>
      </c>
      <c r="H9" s="68"/>
    </row>
    <row r="10" spans="1:18">
      <c r="A10" s="67"/>
      <c r="F10" s="75" t="s">
        <v>13</v>
      </c>
      <c r="H10" s="68"/>
    </row>
    <row r="11" spans="1:18">
      <c r="A11" s="67"/>
      <c r="H11" s="68"/>
    </row>
    <row r="12" spans="1:18">
      <c r="A12" s="67"/>
      <c r="H12" s="68"/>
    </row>
    <row r="13" spans="1:18">
      <c r="A13" s="67"/>
      <c r="H13" s="68"/>
    </row>
    <row r="14" spans="1:18" ht="15" thickBot="1">
      <c r="A14" s="76"/>
      <c r="B14" s="72"/>
      <c r="C14" s="72"/>
      <c r="D14" s="72"/>
      <c r="E14" s="72"/>
      <c r="F14" s="72"/>
      <c r="G14" s="72"/>
      <c r="H14" s="77"/>
    </row>
    <row r="15" spans="1:18" ht="5.0999999999999996" customHeight="1" thickBot="1"/>
    <row r="16" spans="1:18" ht="15" thickBot="1">
      <c r="A16" s="78" t="s">
        <v>14</v>
      </c>
      <c r="B16" s="79" t="s">
        <v>15</v>
      </c>
      <c r="C16" s="79" t="s">
        <v>16</v>
      </c>
      <c r="D16" s="80" t="s">
        <v>17</v>
      </c>
      <c r="E16" s="81"/>
      <c r="F16" s="81"/>
      <c r="G16" s="81"/>
      <c r="H16" s="82"/>
      <c r="I16" s="280" t="s">
        <v>18</v>
      </c>
    </row>
    <row r="17" spans="1:54" ht="15.75" thickBot="1">
      <c r="A17" s="454" t="s">
        <v>19</v>
      </c>
      <c r="B17" s="84">
        <v>1000</v>
      </c>
      <c r="C17" s="84">
        <v>250</v>
      </c>
      <c r="D17" s="84">
        <v>1000</v>
      </c>
      <c r="E17" s="448"/>
      <c r="F17" s="449"/>
      <c r="G17" s="449"/>
      <c r="H17" s="450"/>
      <c r="I17" s="345" t="s">
        <v>20</v>
      </c>
    </row>
    <row r="18" spans="1:54">
      <c r="A18" s="455"/>
      <c r="B18" s="87" t="s">
        <v>21</v>
      </c>
      <c r="C18" s="87" t="s">
        <v>21</v>
      </c>
      <c r="D18" s="88"/>
      <c r="E18" s="89" t="s">
        <v>22</v>
      </c>
      <c r="F18" s="90"/>
      <c r="G18" s="90"/>
      <c r="H18" s="91"/>
      <c r="I18" s="83"/>
    </row>
    <row r="19" spans="1:54" ht="15.75" thickBot="1">
      <c r="A19" s="456"/>
      <c r="B19" s="92" t="s">
        <v>23</v>
      </c>
      <c r="C19" s="93">
        <v>1</v>
      </c>
      <c r="D19" s="94">
        <v>2.5</v>
      </c>
      <c r="E19" s="95" t="s">
        <v>24</v>
      </c>
      <c r="F19" s="457" t="s">
        <v>25</v>
      </c>
      <c r="G19" s="458"/>
      <c r="H19" s="459"/>
      <c r="I19" s="83"/>
    </row>
    <row r="20" spans="1:54" ht="5.0999999999999996" customHeight="1" thickBot="1">
      <c r="A20" s="88"/>
      <c r="B20" s="88"/>
      <c r="C20" s="88"/>
      <c r="D20" s="88"/>
      <c r="E20" s="88"/>
      <c r="F20" s="88"/>
      <c r="G20" s="88"/>
      <c r="H20" s="88"/>
      <c r="I20" s="83"/>
    </row>
    <row r="21" spans="1:54" ht="13.5" customHeight="1" thickBot="1">
      <c r="A21" s="445"/>
      <c r="B21" s="96"/>
      <c r="C21" s="96"/>
      <c r="D21" s="96"/>
      <c r="E21" s="448"/>
      <c r="F21" s="449"/>
      <c r="G21" s="449"/>
      <c r="H21" s="450"/>
      <c r="I21" s="345" t="s">
        <v>20</v>
      </c>
      <c r="M21" s="97" t="s">
        <v>26</v>
      </c>
      <c r="N21" s="98" t="s">
        <v>27</v>
      </c>
      <c r="O21" s="98" t="s">
        <v>28</v>
      </c>
      <c r="P21" s="98" t="s">
        <v>27</v>
      </c>
      <c r="Q21" s="98" t="s">
        <v>28</v>
      </c>
      <c r="R21" s="98" t="s">
        <v>29</v>
      </c>
      <c r="S21" s="66" t="s">
        <v>30</v>
      </c>
      <c r="T21" s="99" t="s">
        <v>31</v>
      </c>
      <c r="U21" s="99"/>
      <c r="V21" s="99"/>
      <c r="W21" s="98" t="s">
        <v>32</v>
      </c>
      <c r="X21" s="98" t="s">
        <v>32</v>
      </c>
      <c r="Y21" s="98"/>
      <c r="Z21" s="98" t="s">
        <v>33</v>
      </c>
      <c r="AA21" s="100" t="s">
        <v>34</v>
      </c>
      <c r="AB21" s="98" t="s">
        <v>32</v>
      </c>
      <c r="AC21" s="98" t="s">
        <v>32</v>
      </c>
      <c r="AD21" s="98" t="s">
        <v>32</v>
      </c>
      <c r="AE21" s="98" t="s">
        <v>32</v>
      </c>
      <c r="AF21" s="98" t="s">
        <v>35</v>
      </c>
      <c r="AG21" s="101" t="s">
        <v>36</v>
      </c>
      <c r="AI21" s="97" t="str">
        <f>informatieblad!$A$6</f>
        <v>FL20</v>
      </c>
      <c r="AJ21" s="99"/>
      <c r="AK21" s="97" t="str">
        <f>informatieblad!$A$7</f>
        <v>FL30</v>
      </c>
      <c r="AL21" s="66"/>
      <c r="AM21" s="99" t="str">
        <f>informatieblad!$A$8</f>
        <v>FL40</v>
      </c>
      <c r="AN21" s="66"/>
      <c r="AO21" s="97" t="str">
        <f>informatieblad!$A$5</f>
        <v>none</v>
      </c>
      <c r="AP21" s="264"/>
      <c r="AR21" s="266" t="s">
        <v>17</v>
      </c>
      <c r="AU21" s="266" t="s">
        <v>37</v>
      </c>
      <c r="AW21" s="269" t="s">
        <v>38</v>
      </c>
      <c r="AX21" s="272"/>
      <c r="AY21" s="272">
        <f>informatieblad!$B$3</f>
        <v>0</v>
      </c>
      <c r="AZ21" s="272">
        <f>informatieblad!$B$3</f>
        <v>0</v>
      </c>
      <c r="BA21" s="272">
        <f>informatieblad!$B$4</f>
        <v>0</v>
      </c>
      <c r="BB21" s="264">
        <f>informatieblad!$B$4</f>
        <v>0</v>
      </c>
    </row>
    <row r="22" spans="1:54" ht="14.25" customHeight="1">
      <c r="A22" s="446"/>
      <c r="B22" s="102" t="str">
        <f>IF($C23&gt;0,IF(MAX(B21:C21)&lt;informatieblad!$Q$4,informatieblad!$P$3,IF(MAX(B21:C21)&gt;informatieblad!$R$4,informatieblad!$P$5,informatieblad!$P$4)),"")</f>
        <v/>
      </c>
      <c r="C22" s="102" t="str">
        <f>IF($C23&gt;0,IF(MAX(B21:C21)&lt;informatieblad!$Q$4,informatieblad!$P$3,IF(MAX(B21:C21)&gt;informatieblad!$R$4,informatieblad!$P$5,informatieblad!$P$4)),"")</f>
        <v/>
      </c>
      <c r="D22" s="88"/>
      <c r="E22" s="89" t="str">
        <f>A21&amp;"-"&amp;informatieblad!$B$12&amp;"-"&amp;B21&amp;"-"&amp;C21&amp;"-"&amp;D21&amp;"-"&amp;B22&amp;"-"&amp;C22&amp;"-"&amp;F23</f>
        <v>-RctD------Options None</v>
      </c>
      <c r="F22" s="90"/>
      <c r="G22" s="90"/>
      <c r="H22" s="91"/>
      <c r="I22" s="83"/>
      <c r="M22" s="103">
        <f>A21</f>
        <v>0</v>
      </c>
      <c r="N22" s="104" t="s">
        <v>39</v>
      </c>
      <c r="O22" s="104" t="s">
        <v>39</v>
      </c>
      <c r="P22" s="104" t="s">
        <v>40</v>
      </c>
      <c r="Q22" s="104" t="s">
        <v>40</v>
      </c>
      <c r="R22" s="104" t="s">
        <v>40</v>
      </c>
      <c r="S22" s="105"/>
      <c r="T22" s="106" t="s">
        <v>27</v>
      </c>
      <c r="U22" s="106" t="s">
        <v>40</v>
      </c>
      <c r="V22" s="106" t="s">
        <v>41</v>
      </c>
      <c r="W22" s="104" t="s">
        <v>42</v>
      </c>
      <c r="X22" s="104" t="s">
        <v>43</v>
      </c>
      <c r="Y22" s="104"/>
      <c r="Z22" s="104" t="s">
        <v>44</v>
      </c>
      <c r="AA22" s="107"/>
      <c r="AB22" s="104" t="s">
        <v>45</v>
      </c>
      <c r="AC22" s="104" t="s">
        <v>42</v>
      </c>
      <c r="AD22" s="104" t="s">
        <v>43</v>
      </c>
      <c r="AE22" s="104" t="s">
        <v>46</v>
      </c>
      <c r="AF22" s="108"/>
      <c r="AG22" s="109"/>
      <c r="AI22" s="262" t="str">
        <f>informatieblad!$A$2</f>
        <v>FL20 loose</v>
      </c>
      <c r="AJ22" s="263"/>
      <c r="AK22" s="262" t="str">
        <f>informatieblad!$A$3</f>
        <v>FL30 loose</v>
      </c>
      <c r="AL22" s="105"/>
      <c r="AM22" s="263" t="str">
        <f>informatieblad!$A$4</f>
        <v>FL40 loose</v>
      </c>
      <c r="AN22" s="105"/>
      <c r="AO22" s="265"/>
      <c r="AP22" s="105"/>
      <c r="AR22" s="267"/>
      <c r="AT22" s="83" t="str">
        <f>'UC mounting materials '!$B$10</f>
        <v>Rail 30x15</v>
      </c>
      <c r="AU22" s="327">
        <f>IF(Z23&lt;1000,(Z23+100),0)*C23</f>
        <v>0</v>
      </c>
      <c r="AW22" s="265" t="s">
        <v>47</v>
      </c>
      <c r="AX22" s="106" t="s">
        <v>48</v>
      </c>
      <c r="AY22" s="83" t="s">
        <v>23</v>
      </c>
      <c r="AZ22" s="83" t="s">
        <v>23</v>
      </c>
      <c r="BA22" s="83" t="s">
        <v>23</v>
      </c>
      <c r="BB22" s="273" t="s">
        <v>23</v>
      </c>
    </row>
    <row r="23" spans="1:54" ht="15.75" customHeight="1" thickBot="1">
      <c r="A23" s="447"/>
      <c r="B23" s="92" t="s">
        <v>23</v>
      </c>
      <c r="C23" s="110"/>
      <c r="D23" s="94">
        <f>C23*O23</f>
        <v>0</v>
      </c>
      <c r="E23" s="95" t="s">
        <v>24</v>
      </c>
      <c r="F23" s="451" t="s">
        <v>25</v>
      </c>
      <c r="G23" s="452"/>
      <c r="H23" s="453"/>
      <c r="I23" s="83"/>
      <c r="M23" s="111"/>
      <c r="N23" s="112">
        <f>(((2*(B21+C21))*D21)/1000000)</f>
        <v>0</v>
      </c>
      <c r="O23" s="112">
        <f>((IF(N23&lt;=informatieblad!$I$12,informatieblad!$I$12,IF(N23&gt;=informatieblad!$I$12,N23))))</f>
        <v>0.5</v>
      </c>
      <c r="P23" s="112">
        <f>(((2*B21)+(2*C21))*D21)/1000000</f>
        <v>0</v>
      </c>
      <c r="Q23" s="112">
        <f>((IF(P23&lt;=informatieblad!$H$12,informatieblad!$H$12,IF(P23&gt;=informatieblad!$H$12,P23))))</f>
        <v>0</v>
      </c>
      <c r="R23" s="113">
        <f>((Q23*X23)+(Q23*U23))*C23</f>
        <v>0</v>
      </c>
      <c r="S23" s="114">
        <f>((O23*W23)+(O23*V23))*C23</f>
        <v>0</v>
      </c>
      <c r="T23" s="115" t="str">
        <f>F23</f>
        <v>Options None</v>
      </c>
      <c r="U23" s="116">
        <f>VLOOKUP(F23,informatieblad!$A$37:$D$41,2,FALSE)</f>
        <v>0</v>
      </c>
      <c r="V23" s="116">
        <f>VLOOKUP(F23,informatieblad!$A$37:$D$41,4,FALSE)</f>
        <v>0</v>
      </c>
      <c r="W23" s="117">
        <f>((IF(D21&lt;=900,AC23,IF(D21&gt;=900,AE23))))</f>
        <v>45.1248</v>
      </c>
      <c r="X23" s="118">
        <f>((IF(D21&lt;=900,AB23,IF(D21&gt;=900,AD23))))</f>
        <v>0</v>
      </c>
      <c r="Y23" s="119"/>
      <c r="Z23" s="119">
        <f>(MAX(B21:C21))</f>
        <v>0</v>
      </c>
      <c r="AA23" s="119">
        <f>LOOKUP(Z23,informatieblad!$C$27:$C$32,informatieblad!$A$27:$A$32)</f>
        <v>0.5</v>
      </c>
      <c r="AB23" s="118">
        <f>VLOOKUP(AA23,informatieblad!$A$27:$M$32,6,FALSE)</f>
        <v>0</v>
      </c>
      <c r="AC23" s="118">
        <f>VLOOKUP(AA23,informatieblad!$A$27:$M$32,8,FALSE)</f>
        <v>45.1248</v>
      </c>
      <c r="AD23" s="118">
        <f>VLOOKUP(AA23,informatieblad!$A$27:$M$32,9,FALSE)</f>
        <v>0</v>
      </c>
      <c r="AE23" s="118">
        <f>VLOOKUP(AA23,informatieblad!$A$27:$M$32,11,FALSE)</f>
        <v>32.463200000000001</v>
      </c>
      <c r="AF23" s="120">
        <f>VLOOKUP(AA23,informatieblad!$A$27:$M$32,13,FALSE)</f>
        <v>4</v>
      </c>
      <c r="AG23" s="121">
        <f>ROUND((AF23*P23),1)</f>
        <v>0</v>
      </c>
      <c r="AI23" s="111">
        <f>(IF(B22=AI21,((2*B21)+(2*C21)),IF(B22=AI22,((2*B21)+(2*C21)),0)))*C23</f>
        <v>0</v>
      </c>
      <c r="AJ23" s="261">
        <f>(IF(C22=AI21,((2*B21)+(2*C21)),IF(C22=AI22,((2*B21)+(2*C21)),0)))*C23</f>
        <v>0</v>
      </c>
      <c r="AK23" s="111">
        <f>(IF(B22=AK21,((2*B21)+(2*C21)),IF(B22=AK22,((2*B21)+(2*C21)),0)))*C23</f>
        <v>0</v>
      </c>
      <c r="AL23" s="260">
        <f>(IF(C22=AK21,((2*B21)+(2*C21)),IF(C22=AK22,((2*B21)+(2*C21)),0)))*C23</f>
        <v>0</v>
      </c>
      <c r="AM23" s="261">
        <f>(IF(B22=AM21,((2*B21)+(2*C21)),IF(B22=AM22,((2*B21)+(2*C21)),0)))*C23</f>
        <v>0</v>
      </c>
      <c r="AN23" s="260">
        <f>(IF(C22=AM21,((2*B21)+(2*C21)),IF(C22=AM22,((2*B21)+(2*C21)),0)))*C23</f>
        <v>0</v>
      </c>
      <c r="AO23" s="111">
        <f>(IF(B22=AO21,((2*B21)+(2*C21)),0))*C23</f>
        <v>0</v>
      </c>
      <c r="AP23" s="260">
        <f>(IF(C22=AO21,((2*B21)+(2*C21)),0))*C23</f>
        <v>0</v>
      </c>
      <c r="AR23" s="268">
        <f>D21*C23</f>
        <v>0</v>
      </c>
      <c r="AT23" s="83" t="str">
        <f>'UC mounting materials '!$B$11</f>
        <v>Rail 41x41</v>
      </c>
      <c r="AU23" s="268">
        <f>IF(Z23&gt;999,(Z23+100),0)*C23</f>
        <v>0</v>
      </c>
      <c r="AW23" s="111" t="str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/>
      </c>
      <c r="AX23" s="275" t="str">
        <f>IF(C22=informatieblad!$A$6,informatieblad!$B$6,IF(C22=informatieblad!$A$7,informatieblad!$B$7,IF(C22=informatieblad!$A$8,informatieblad!$B$8,IF(C22=informatieblad!$A$2,informatieblad!$B$2,IF(C22=informatieblad!$A$3,informatieblad!$B$3,IF(C22=informatieblad!$A$4,informatieblad!$B$4,IF(C22=informatieblad!$A$5,informatieblad!$B$5,"")))))))</f>
        <v/>
      </c>
      <c r="AY23" s="276">
        <f>IF(AW23=AY21,(4*C23),0)</f>
        <v>0</v>
      </c>
      <c r="AZ23" s="276">
        <f>IF(AX23=AY21,(4*C23),0)</f>
        <v>0</v>
      </c>
      <c r="BA23" s="276">
        <f>IF(AW23=BA21,(4*C23),0)</f>
        <v>0</v>
      </c>
      <c r="BB23" s="274">
        <f>IF(AX23=BA21,(4*C23),0)</f>
        <v>0</v>
      </c>
    </row>
    <row r="24" spans="1:54" ht="5.0999999999999996" customHeight="1" thickBot="1">
      <c r="A24" s="122"/>
      <c r="B24" s="122"/>
      <c r="C24" s="122"/>
      <c r="D24" s="122"/>
      <c r="E24" s="122"/>
      <c r="F24" s="122"/>
      <c r="G24" s="122"/>
      <c r="H24" s="122"/>
      <c r="AT24" s="83"/>
    </row>
    <row r="25" spans="1:54" ht="15.75" thickBot="1">
      <c r="A25" s="445"/>
      <c r="B25" s="96"/>
      <c r="C25" s="96"/>
      <c r="D25" s="96"/>
      <c r="E25" s="448"/>
      <c r="F25" s="449"/>
      <c r="G25" s="449"/>
      <c r="H25" s="450"/>
      <c r="I25" s="345" t="s">
        <v>20</v>
      </c>
      <c r="M25" s="97" t="s">
        <v>14</v>
      </c>
      <c r="N25" s="98" t="s">
        <v>27</v>
      </c>
      <c r="O25" s="98" t="s">
        <v>28</v>
      </c>
      <c r="P25" s="98" t="s">
        <v>27</v>
      </c>
      <c r="Q25" s="98" t="s">
        <v>28</v>
      </c>
      <c r="R25" s="98" t="s">
        <v>29</v>
      </c>
      <c r="S25" s="66" t="s">
        <v>30</v>
      </c>
      <c r="T25" s="99" t="s">
        <v>31</v>
      </c>
      <c r="U25" s="99"/>
      <c r="V25" s="99"/>
      <c r="W25" s="98" t="s">
        <v>32</v>
      </c>
      <c r="X25" s="98" t="s">
        <v>32</v>
      </c>
      <c r="Y25" s="98"/>
      <c r="Z25" s="98" t="s">
        <v>33</v>
      </c>
      <c r="AA25" s="100" t="s">
        <v>34</v>
      </c>
      <c r="AB25" s="98" t="s">
        <v>32</v>
      </c>
      <c r="AC25" s="98" t="s">
        <v>32</v>
      </c>
      <c r="AD25" s="98" t="s">
        <v>32</v>
      </c>
      <c r="AE25" s="98" t="s">
        <v>32</v>
      </c>
      <c r="AF25" s="98" t="s">
        <v>35</v>
      </c>
      <c r="AG25" s="101" t="s">
        <v>36</v>
      </c>
      <c r="AI25" s="97" t="str">
        <f>informatieblad!$A$6</f>
        <v>FL20</v>
      </c>
      <c r="AJ25" s="99"/>
      <c r="AK25" s="97" t="str">
        <f>informatieblad!$A$7</f>
        <v>FL30</v>
      </c>
      <c r="AL25" s="66"/>
      <c r="AM25" s="99" t="str">
        <f>informatieblad!$A$8</f>
        <v>FL40</v>
      </c>
      <c r="AN25" s="66"/>
      <c r="AO25" s="97" t="str">
        <f>informatieblad!$A$5</f>
        <v>none</v>
      </c>
      <c r="AP25" s="264"/>
      <c r="AR25" s="266" t="s">
        <v>17</v>
      </c>
      <c r="AT25" s="83"/>
      <c r="AU25" s="266" t="s">
        <v>37</v>
      </c>
      <c r="AW25" s="269" t="s">
        <v>38</v>
      </c>
      <c r="AX25" s="272"/>
      <c r="AY25" s="272">
        <f>informatieblad!$B$3</f>
        <v>0</v>
      </c>
      <c r="AZ25" s="272">
        <f>informatieblad!$B$3</f>
        <v>0</v>
      </c>
      <c r="BA25" s="272">
        <f>informatieblad!$B$4</f>
        <v>0</v>
      </c>
      <c r="BB25" s="264">
        <f>informatieblad!$B$4</f>
        <v>0</v>
      </c>
    </row>
    <row r="26" spans="1:54">
      <c r="A26" s="446"/>
      <c r="B26" s="102" t="str">
        <f>IF($C27&gt;0,IF(MAX(B25:C25)&lt;informatieblad!$Q$4,informatieblad!$P$3,IF(MAX(B25:C25)&gt;informatieblad!$R$4,informatieblad!$P$5,informatieblad!$P$4)),"")</f>
        <v/>
      </c>
      <c r="C26" s="102" t="str">
        <f>IF($C27&gt;0,IF(MAX(B25:C25)&lt;informatieblad!$Q$4,informatieblad!$P$3,IF(MAX(B25:C25)&gt;informatieblad!$R$4,informatieblad!$P$5,informatieblad!$P$4)),"")</f>
        <v/>
      </c>
      <c r="D26" s="88"/>
      <c r="E26" s="89" t="str">
        <f>A25&amp;"-"&amp;informatieblad!$B$12&amp;"-"&amp;B25&amp;"-"&amp;C25&amp;"-"&amp;D25&amp;"-"&amp;B26&amp;"-"&amp;C26&amp;"-"&amp;F27</f>
        <v>-RctD------Options None</v>
      </c>
      <c r="F26" s="90"/>
      <c r="G26" s="90"/>
      <c r="H26" s="91"/>
      <c r="M26" s="103">
        <f>A25</f>
        <v>0</v>
      </c>
      <c r="N26" s="104" t="s">
        <v>39</v>
      </c>
      <c r="O26" s="104" t="s">
        <v>39</v>
      </c>
      <c r="P26" s="104" t="s">
        <v>40</v>
      </c>
      <c r="Q26" s="104" t="s">
        <v>40</v>
      </c>
      <c r="R26" s="104" t="s">
        <v>40</v>
      </c>
      <c r="S26" s="105"/>
      <c r="T26" s="106" t="s">
        <v>27</v>
      </c>
      <c r="U26" s="106" t="s">
        <v>40</v>
      </c>
      <c r="V26" s="106" t="s">
        <v>41</v>
      </c>
      <c r="W26" s="104" t="s">
        <v>42</v>
      </c>
      <c r="X26" s="104" t="s">
        <v>43</v>
      </c>
      <c r="Y26" s="104"/>
      <c r="Z26" s="104" t="s">
        <v>44</v>
      </c>
      <c r="AA26" s="107"/>
      <c r="AB26" s="104" t="s">
        <v>45</v>
      </c>
      <c r="AC26" s="104" t="s">
        <v>42</v>
      </c>
      <c r="AD26" s="104" t="s">
        <v>43</v>
      </c>
      <c r="AE26" s="104" t="s">
        <v>46</v>
      </c>
      <c r="AF26" s="108"/>
      <c r="AG26" s="109"/>
      <c r="AI26" s="262" t="str">
        <f>informatieblad!$A$2</f>
        <v>FL20 loose</v>
      </c>
      <c r="AJ26" s="263"/>
      <c r="AK26" s="262" t="str">
        <f>informatieblad!$A$3</f>
        <v>FL30 loose</v>
      </c>
      <c r="AL26" s="105"/>
      <c r="AM26" s="263" t="str">
        <f>informatieblad!$A$4</f>
        <v>FL40 loose</v>
      </c>
      <c r="AN26" s="105"/>
      <c r="AO26" s="265"/>
      <c r="AP26" s="105"/>
      <c r="AR26" s="267"/>
      <c r="AT26" s="83" t="str">
        <f>'UC mounting materials '!$B$10</f>
        <v>Rail 30x15</v>
      </c>
      <c r="AU26" s="327">
        <f>IF(Z27&lt;1000,(Z27+100),0)*C27</f>
        <v>0</v>
      </c>
      <c r="AW26" s="265" t="s">
        <v>47</v>
      </c>
      <c r="AX26" s="106" t="s">
        <v>48</v>
      </c>
      <c r="AY26" s="83" t="s">
        <v>23</v>
      </c>
      <c r="AZ26" s="83" t="s">
        <v>23</v>
      </c>
      <c r="BA26" s="83" t="s">
        <v>23</v>
      </c>
      <c r="BB26" s="273" t="s">
        <v>23</v>
      </c>
    </row>
    <row r="27" spans="1:54" ht="15.75" thickBot="1">
      <c r="A27" s="447"/>
      <c r="B27" s="92" t="s">
        <v>23</v>
      </c>
      <c r="C27" s="110"/>
      <c r="D27" s="94">
        <f>C27*O27</f>
        <v>0</v>
      </c>
      <c r="E27" s="95" t="s">
        <v>24</v>
      </c>
      <c r="F27" s="451" t="s">
        <v>25</v>
      </c>
      <c r="G27" s="452"/>
      <c r="H27" s="453"/>
      <c r="M27" s="111"/>
      <c r="N27" s="112">
        <f>(((2*(B25+C25))*D25)/1000000)</f>
        <v>0</v>
      </c>
      <c r="O27" s="112">
        <f>((IF(N27&lt;=informatieblad!$I$12,informatieblad!$I$12,IF(N27&gt;=informatieblad!$I$12,N27))))</f>
        <v>0.5</v>
      </c>
      <c r="P27" s="112">
        <f>(((2*B25)+(2*C25))*D25)/1000000</f>
        <v>0</v>
      </c>
      <c r="Q27" s="112">
        <f>((IF(P27&lt;=informatieblad!$H$12,informatieblad!$H$12,IF(P27&gt;=informatieblad!$H$12,P27))))</f>
        <v>0</v>
      </c>
      <c r="R27" s="113">
        <f>((Q27*X27)+(Q27*U27))*C27</f>
        <v>0</v>
      </c>
      <c r="S27" s="114">
        <f>((O27*W27)+(O27*V27))*C27</f>
        <v>0</v>
      </c>
      <c r="T27" s="115" t="str">
        <f>F27</f>
        <v>Options None</v>
      </c>
      <c r="U27" s="116">
        <f>VLOOKUP(F27,informatieblad!$A$37:$D$41,2,FALSE)</f>
        <v>0</v>
      </c>
      <c r="V27" s="116">
        <f>VLOOKUP(F27,informatieblad!$A$37:$D$41,4,FALSE)</f>
        <v>0</v>
      </c>
      <c r="W27" s="117">
        <f>((IF(D25&lt;=900,AC27,IF(D25&gt;=900,AE27))))</f>
        <v>45.1248</v>
      </c>
      <c r="X27" s="118">
        <f>((IF(D25&lt;=900,AB27,IF(D25&gt;=900,AD27))))</f>
        <v>0</v>
      </c>
      <c r="Y27" s="119"/>
      <c r="Z27" s="119">
        <f>(MAX(B25:C25))</f>
        <v>0</v>
      </c>
      <c r="AA27" s="119">
        <f>LOOKUP(Z27,informatieblad!$C$27:$C$32,informatieblad!$A$27:$A$32)</f>
        <v>0.5</v>
      </c>
      <c r="AB27" s="118">
        <f>VLOOKUP(AA27,informatieblad!$A$27:$M$32,6,FALSE)</f>
        <v>0</v>
      </c>
      <c r="AC27" s="118">
        <f>VLOOKUP(AA27,informatieblad!$A$27:$M$32,8,FALSE)</f>
        <v>45.1248</v>
      </c>
      <c r="AD27" s="118">
        <f>VLOOKUP(AA27,informatieblad!$A$27:$M$32,9,FALSE)</f>
        <v>0</v>
      </c>
      <c r="AE27" s="118">
        <f>VLOOKUP(AA27,informatieblad!$A$27:$M$32,11,FALSE)</f>
        <v>32.463200000000001</v>
      </c>
      <c r="AF27" s="120">
        <f>VLOOKUP(AA27,informatieblad!$A$27:$M$32,13,FALSE)</f>
        <v>4</v>
      </c>
      <c r="AG27" s="121">
        <f>ROUND((AF27*P27),1)</f>
        <v>0</v>
      </c>
      <c r="AI27" s="111">
        <f>(IF(B26=AI25,((2*B25)+(2*C25)),IF(B26=AI26,((2*B25)+(2*C25)),0)))*C27</f>
        <v>0</v>
      </c>
      <c r="AJ27" s="261">
        <f>(IF(C26=AI25,((2*B25)+(2*C25)),IF(C26=AI26,((2*B25)+(2*C25)),0)))*C27</f>
        <v>0</v>
      </c>
      <c r="AK27" s="111">
        <f>(IF(B26=AK25,((2*B25)+(2*C25)),IF(B26=AK26,((2*B25)+(2*C25)),0)))*C27</f>
        <v>0</v>
      </c>
      <c r="AL27" s="260">
        <f>(IF(C26=AK25,((2*B25)+(2*C25)),IF(C26=AK26,((2*B25)+(2*C25)),0)))*C27</f>
        <v>0</v>
      </c>
      <c r="AM27" s="261">
        <f>(IF(B26=AM25,((2*B25)+(2*C25)),IF(B26=AM26,((2*B25)+(2*C25)),0)))*C27</f>
        <v>0</v>
      </c>
      <c r="AN27" s="260">
        <f>(IF(C26=AM25,((2*B25)+(2*C25)),IF(C26=AM26,((2*B25)+(2*C25)),0)))*C27</f>
        <v>0</v>
      </c>
      <c r="AO27" s="111">
        <f>(IF(B26=AO25,((2*B25)+(2*C25)),0))*C27</f>
        <v>0</v>
      </c>
      <c r="AP27" s="260">
        <f>(IF(C26=AO25,((2*B25)+(2*C25)),0))*C27</f>
        <v>0</v>
      </c>
      <c r="AR27" s="268">
        <f>D25*C27</f>
        <v>0</v>
      </c>
      <c r="AT27" s="83" t="str">
        <f>'UC mounting materials '!$B$11</f>
        <v>Rail 41x41</v>
      </c>
      <c r="AU27" s="268">
        <f>IF(Z27&gt;999,(Z27+100),0)*C27</f>
        <v>0</v>
      </c>
      <c r="AW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AX27" s="275" t="str">
        <f>IF(C26=informatieblad!$A$6,informatieblad!$B$6,IF(C26=informatieblad!$A$7,informatieblad!$B$7,IF(C26=informatieblad!$A$8,informatieblad!$B$8,IF(C26=informatieblad!$A$2,informatieblad!$B$2,IF(C26=informatieblad!$A$3,informatieblad!$B$3,IF(C26=informatieblad!$A$4,informatieblad!$B$4,IF(C26=informatieblad!$A$5,informatieblad!$B$5,"")))))))</f>
        <v/>
      </c>
      <c r="AY27" s="276">
        <f>IF(AW27=AY25,(4*C27),0)</f>
        <v>0</v>
      </c>
      <c r="AZ27" s="276">
        <f>IF(AX27=AY25,(4*C27),0)</f>
        <v>0</v>
      </c>
      <c r="BA27" s="276">
        <f>IF(AW27=BA25,(4*C27),0)</f>
        <v>0</v>
      </c>
      <c r="BB27" s="274">
        <f>IF(AX27=BA25,(4*C27),0)</f>
        <v>0</v>
      </c>
    </row>
    <row r="28" spans="1:54" ht="5.0999999999999996" customHeight="1" thickBot="1">
      <c r="A28" s="122"/>
      <c r="B28" s="122"/>
      <c r="C28" s="122"/>
      <c r="D28" s="122"/>
      <c r="E28" s="122"/>
      <c r="F28" s="122"/>
      <c r="G28" s="122"/>
      <c r="H28" s="122"/>
      <c r="AT28" s="83"/>
    </row>
    <row r="29" spans="1:54" ht="15.75" thickBot="1">
      <c r="A29" s="445"/>
      <c r="B29" s="96"/>
      <c r="C29" s="96"/>
      <c r="D29" s="96"/>
      <c r="E29" s="448"/>
      <c r="F29" s="449"/>
      <c r="G29" s="449"/>
      <c r="H29" s="450"/>
      <c r="I29" s="345" t="s">
        <v>20</v>
      </c>
      <c r="M29" s="97" t="s">
        <v>14</v>
      </c>
      <c r="N29" s="98" t="s">
        <v>27</v>
      </c>
      <c r="O29" s="98" t="s">
        <v>28</v>
      </c>
      <c r="P29" s="98" t="s">
        <v>27</v>
      </c>
      <c r="Q29" s="98" t="s">
        <v>28</v>
      </c>
      <c r="R29" s="98" t="s">
        <v>29</v>
      </c>
      <c r="S29" s="66" t="s">
        <v>30</v>
      </c>
      <c r="T29" s="99" t="s">
        <v>31</v>
      </c>
      <c r="U29" s="99"/>
      <c r="V29" s="99"/>
      <c r="W29" s="98" t="s">
        <v>32</v>
      </c>
      <c r="X29" s="98" t="s">
        <v>32</v>
      </c>
      <c r="Y29" s="98"/>
      <c r="Z29" s="98" t="s">
        <v>33</v>
      </c>
      <c r="AA29" s="100" t="s">
        <v>34</v>
      </c>
      <c r="AB29" s="98" t="s">
        <v>32</v>
      </c>
      <c r="AC29" s="98" t="s">
        <v>32</v>
      </c>
      <c r="AD29" s="98" t="s">
        <v>32</v>
      </c>
      <c r="AE29" s="98" t="s">
        <v>32</v>
      </c>
      <c r="AF29" s="98" t="s">
        <v>35</v>
      </c>
      <c r="AG29" s="101" t="s">
        <v>36</v>
      </c>
      <c r="AI29" s="97" t="str">
        <f>informatieblad!$A$6</f>
        <v>FL20</v>
      </c>
      <c r="AJ29" s="99"/>
      <c r="AK29" s="97" t="str">
        <f>informatieblad!$A$7</f>
        <v>FL30</v>
      </c>
      <c r="AL29" s="66"/>
      <c r="AM29" s="99" t="str">
        <f>informatieblad!$A$8</f>
        <v>FL40</v>
      </c>
      <c r="AN29" s="66"/>
      <c r="AO29" s="97" t="str">
        <f>informatieblad!$A$5</f>
        <v>none</v>
      </c>
      <c r="AP29" s="264"/>
      <c r="AR29" s="266" t="s">
        <v>17</v>
      </c>
      <c r="AT29" s="83"/>
      <c r="AU29" s="266" t="s">
        <v>37</v>
      </c>
      <c r="AW29" s="269" t="s">
        <v>38</v>
      </c>
      <c r="AX29" s="272"/>
      <c r="AY29" s="272">
        <f>informatieblad!$B$3</f>
        <v>0</v>
      </c>
      <c r="AZ29" s="272">
        <f>informatieblad!$B$3</f>
        <v>0</v>
      </c>
      <c r="BA29" s="272">
        <f>informatieblad!$B$4</f>
        <v>0</v>
      </c>
      <c r="BB29" s="264">
        <f>informatieblad!$B$4</f>
        <v>0</v>
      </c>
    </row>
    <row r="30" spans="1:54">
      <c r="A30" s="446"/>
      <c r="B30" s="102" t="str">
        <f>IF($C31&gt;0,IF(MAX(B29:C29)&lt;informatieblad!$Q$4,informatieblad!$P$3,IF(MAX(B29:C29)&gt;informatieblad!$R$4,informatieblad!$P$5,informatieblad!$P$4)),"")</f>
        <v/>
      </c>
      <c r="C30" s="102" t="str">
        <f>IF($C31&gt;0,IF(MAX(B29:C29)&lt;informatieblad!$Q$4,informatieblad!$P$3,IF(MAX(B29:C29)&gt;informatieblad!$R$4,informatieblad!$P$5,informatieblad!$P$4)),"")</f>
        <v/>
      </c>
      <c r="D30" s="88"/>
      <c r="E30" s="89" t="str">
        <f>A29&amp;"-"&amp;informatieblad!$B$12&amp;"-"&amp;B29&amp;"-"&amp;C29&amp;"-"&amp;D29&amp;"-"&amp;B30&amp;"-"&amp;C30&amp;"-"&amp;F31</f>
        <v>-RctD------Options None</v>
      </c>
      <c r="F30" s="90"/>
      <c r="G30" s="90"/>
      <c r="H30" s="91"/>
      <c r="M30" s="103">
        <f>A29</f>
        <v>0</v>
      </c>
      <c r="N30" s="104" t="s">
        <v>39</v>
      </c>
      <c r="O30" s="104" t="s">
        <v>39</v>
      </c>
      <c r="P30" s="104" t="s">
        <v>40</v>
      </c>
      <c r="Q30" s="104" t="s">
        <v>40</v>
      </c>
      <c r="R30" s="104" t="s">
        <v>40</v>
      </c>
      <c r="S30" s="105"/>
      <c r="T30" s="106" t="s">
        <v>27</v>
      </c>
      <c r="U30" s="106" t="s">
        <v>40</v>
      </c>
      <c r="V30" s="106" t="s">
        <v>41</v>
      </c>
      <c r="W30" s="104" t="s">
        <v>42</v>
      </c>
      <c r="X30" s="104" t="s">
        <v>43</v>
      </c>
      <c r="Y30" s="104"/>
      <c r="Z30" s="104" t="s">
        <v>44</v>
      </c>
      <c r="AA30" s="107"/>
      <c r="AB30" s="104" t="s">
        <v>45</v>
      </c>
      <c r="AC30" s="104" t="s">
        <v>42</v>
      </c>
      <c r="AD30" s="104" t="s">
        <v>43</v>
      </c>
      <c r="AE30" s="104" t="s">
        <v>46</v>
      </c>
      <c r="AF30" s="108"/>
      <c r="AG30" s="109"/>
      <c r="AI30" s="262" t="str">
        <f>informatieblad!$A$2</f>
        <v>FL20 loose</v>
      </c>
      <c r="AJ30" s="263"/>
      <c r="AK30" s="262" t="str">
        <f>informatieblad!$A$3</f>
        <v>FL30 loose</v>
      </c>
      <c r="AL30" s="105"/>
      <c r="AM30" s="263" t="str">
        <f>informatieblad!$A$4</f>
        <v>FL40 loose</v>
      </c>
      <c r="AN30" s="105"/>
      <c r="AO30" s="265"/>
      <c r="AP30" s="105"/>
      <c r="AR30" s="267"/>
      <c r="AT30" s="83" t="str">
        <f>'UC mounting materials '!$B$10</f>
        <v>Rail 30x15</v>
      </c>
      <c r="AU30" s="327">
        <f>IF(Z31&lt;1000,(Z31+100),0)*C31</f>
        <v>0</v>
      </c>
      <c r="AW30" s="265" t="s">
        <v>47</v>
      </c>
      <c r="AX30" s="106" t="s">
        <v>48</v>
      </c>
      <c r="AY30" s="83" t="s">
        <v>23</v>
      </c>
      <c r="AZ30" s="83" t="s">
        <v>23</v>
      </c>
      <c r="BA30" s="83" t="s">
        <v>23</v>
      </c>
      <c r="BB30" s="273" t="s">
        <v>23</v>
      </c>
    </row>
    <row r="31" spans="1:54" ht="15.75" thickBot="1">
      <c r="A31" s="447"/>
      <c r="B31" s="92" t="s">
        <v>23</v>
      </c>
      <c r="C31" s="110"/>
      <c r="D31" s="94">
        <f>C31*O31</f>
        <v>0</v>
      </c>
      <c r="E31" s="95" t="s">
        <v>24</v>
      </c>
      <c r="F31" s="451" t="s">
        <v>25</v>
      </c>
      <c r="G31" s="452"/>
      <c r="H31" s="453"/>
      <c r="M31" s="111"/>
      <c r="N31" s="112">
        <f>(((2*(B29+C29))*D29)/1000000)</f>
        <v>0</v>
      </c>
      <c r="O31" s="112">
        <f>((IF(N31&lt;=informatieblad!$I$12,informatieblad!$I$12,IF(N31&gt;=informatieblad!$I$12,N31))))</f>
        <v>0.5</v>
      </c>
      <c r="P31" s="112">
        <f>(((2*B29)+(2*C29))*D29)/1000000</f>
        <v>0</v>
      </c>
      <c r="Q31" s="112">
        <f>((IF(P31&lt;=informatieblad!$H$12,informatieblad!$H$12,IF(P31&gt;=informatieblad!$H$12,P31))))</f>
        <v>0</v>
      </c>
      <c r="R31" s="113">
        <f>((Q31*X31)+(Q31*U31))*C31</f>
        <v>0</v>
      </c>
      <c r="S31" s="114">
        <f>((O31*W31)+(O31*V31))*C31</f>
        <v>0</v>
      </c>
      <c r="T31" s="115" t="str">
        <f>F31</f>
        <v>Options None</v>
      </c>
      <c r="U31" s="116">
        <f>VLOOKUP(F31,informatieblad!$A$37:$D$41,2,FALSE)</f>
        <v>0</v>
      </c>
      <c r="V31" s="116">
        <f>VLOOKUP(F31,informatieblad!$A$37:$D$41,4,FALSE)</f>
        <v>0</v>
      </c>
      <c r="W31" s="117">
        <f>((IF(D29&lt;=900,AC31,IF(D29&gt;=900,AE31))))</f>
        <v>45.1248</v>
      </c>
      <c r="X31" s="118">
        <f>((IF(D29&lt;=900,AB31,IF(D29&gt;=900,AD31))))</f>
        <v>0</v>
      </c>
      <c r="Y31" s="119"/>
      <c r="Z31" s="119">
        <f>(MAX(B29:C29))</f>
        <v>0</v>
      </c>
      <c r="AA31" s="119">
        <f>LOOKUP(Z31,informatieblad!$C$27:$C$32,informatieblad!$A$27:$A$32)</f>
        <v>0.5</v>
      </c>
      <c r="AB31" s="118">
        <f>VLOOKUP(AA31,informatieblad!$A$27:$M$32,6,FALSE)</f>
        <v>0</v>
      </c>
      <c r="AC31" s="118">
        <f>VLOOKUP(AA31,informatieblad!$A$27:$M$32,8,FALSE)</f>
        <v>45.1248</v>
      </c>
      <c r="AD31" s="118">
        <f>VLOOKUP(AA31,informatieblad!$A$27:$M$32,9,FALSE)</f>
        <v>0</v>
      </c>
      <c r="AE31" s="118">
        <f>VLOOKUP(AA31,informatieblad!$A$27:$M$32,11,FALSE)</f>
        <v>32.463200000000001</v>
      </c>
      <c r="AF31" s="120">
        <f>VLOOKUP(AA31,informatieblad!$A$27:$M$32,13,FALSE)</f>
        <v>4</v>
      </c>
      <c r="AG31" s="121">
        <f>ROUND((AF31*P31),1)</f>
        <v>0</v>
      </c>
      <c r="AI31" s="111">
        <f>(IF(B30=AI29,((2*B29)+(2*C29)),IF(B30=AI30,((2*B29)+(2*C29)),0)))*C31</f>
        <v>0</v>
      </c>
      <c r="AJ31" s="261">
        <f>(IF(C30=AI29,((2*B29)+(2*C29)),IF(C30=AI30,((2*B29)+(2*C29)),0)))*C31</f>
        <v>0</v>
      </c>
      <c r="AK31" s="111">
        <f>(IF(B30=AK29,((2*B29)+(2*C29)),IF(B30=AK30,((2*B29)+(2*C29)),0)))*C31</f>
        <v>0</v>
      </c>
      <c r="AL31" s="260">
        <f>(IF(C30=AK29,((2*B29)+(2*C29)),IF(C30=AK30,((2*B29)+(2*C29)),0)))*C31</f>
        <v>0</v>
      </c>
      <c r="AM31" s="261">
        <f>(IF(B30=AM29,((2*B29)+(2*C29)),IF(B30=AM30,((2*B29)+(2*C29)),0)))*C31</f>
        <v>0</v>
      </c>
      <c r="AN31" s="260">
        <f>(IF(C30=AM29,((2*B29)+(2*C29)),IF(C30=AM30,((2*B29)+(2*C29)),0)))*C31</f>
        <v>0</v>
      </c>
      <c r="AO31" s="111">
        <f>(IF(B30=AO29,((2*B29)+(2*C29)),0))*C31</f>
        <v>0</v>
      </c>
      <c r="AP31" s="260">
        <f>(IF(C30=AO29,((2*B29)+(2*C29)),0))*C31</f>
        <v>0</v>
      </c>
      <c r="AR31" s="268">
        <f>D29*C31</f>
        <v>0</v>
      </c>
      <c r="AT31" s="83" t="str">
        <f>'UC mounting materials '!$B$11</f>
        <v>Rail 41x41</v>
      </c>
      <c r="AU31" s="268">
        <f>IF(Z31&gt;999,(Z31+100),0)*C31</f>
        <v>0</v>
      </c>
      <c r="AW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AX31" s="275" t="str">
        <f>IF(C30=informatieblad!$A$6,informatieblad!$B$6,IF(C30=informatieblad!$A$7,informatieblad!$B$7,IF(C30=informatieblad!$A$8,informatieblad!$B$8,IF(C30=informatieblad!$A$2,informatieblad!$B$2,IF(C30=informatieblad!$A$3,informatieblad!$B$3,IF(C30=informatieblad!$A$4,informatieblad!$B$4,IF(C30=informatieblad!$A$5,informatieblad!$B$5,"")))))))</f>
        <v/>
      </c>
      <c r="AY31" s="276">
        <f>IF(AW31=AY29,(4*C31),0)</f>
        <v>0</v>
      </c>
      <c r="AZ31" s="276">
        <f>IF(AX31=AY29,(4*C31),0)</f>
        <v>0</v>
      </c>
      <c r="BA31" s="276">
        <f>IF(AW31=BA29,(4*C31),0)</f>
        <v>0</v>
      </c>
      <c r="BB31" s="274">
        <f>IF(AX31=BA29,(4*C31),0)</f>
        <v>0</v>
      </c>
    </row>
    <row r="32" spans="1:54" ht="5.0999999999999996" customHeight="1" thickBot="1">
      <c r="A32" s="122"/>
      <c r="B32" s="122"/>
      <c r="C32" s="122"/>
      <c r="D32" s="122"/>
      <c r="E32" s="122"/>
      <c r="F32" s="122"/>
      <c r="G32" s="122"/>
      <c r="H32" s="122"/>
      <c r="AT32" s="83"/>
    </row>
    <row r="33" spans="1:54" ht="15.75" thickBot="1">
      <c r="A33" s="445"/>
      <c r="B33" s="96"/>
      <c r="C33" s="96"/>
      <c r="D33" s="96"/>
      <c r="E33" s="448"/>
      <c r="F33" s="449"/>
      <c r="G33" s="449"/>
      <c r="H33" s="450"/>
      <c r="I33" s="345" t="s">
        <v>20</v>
      </c>
      <c r="M33" s="97" t="s">
        <v>14</v>
      </c>
      <c r="N33" s="98" t="s">
        <v>27</v>
      </c>
      <c r="O33" s="98" t="s">
        <v>28</v>
      </c>
      <c r="P33" s="98" t="s">
        <v>27</v>
      </c>
      <c r="Q33" s="98" t="s">
        <v>28</v>
      </c>
      <c r="R33" s="98" t="s">
        <v>29</v>
      </c>
      <c r="S33" s="66" t="s">
        <v>30</v>
      </c>
      <c r="T33" s="99" t="s">
        <v>31</v>
      </c>
      <c r="U33" s="99"/>
      <c r="V33" s="99"/>
      <c r="W33" s="98" t="s">
        <v>32</v>
      </c>
      <c r="X33" s="98" t="s">
        <v>32</v>
      </c>
      <c r="Y33" s="98"/>
      <c r="Z33" s="98" t="s">
        <v>33</v>
      </c>
      <c r="AA33" s="100" t="s">
        <v>34</v>
      </c>
      <c r="AB33" s="98" t="s">
        <v>32</v>
      </c>
      <c r="AC33" s="98" t="s">
        <v>32</v>
      </c>
      <c r="AD33" s="98" t="s">
        <v>32</v>
      </c>
      <c r="AE33" s="98" t="s">
        <v>32</v>
      </c>
      <c r="AF33" s="98" t="s">
        <v>35</v>
      </c>
      <c r="AG33" s="101" t="s">
        <v>36</v>
      </c>
      <c r="AI33" s="97" t="str">
        <f>informatieblad!$A$6</f>
        <v>FL20</v>
      </c>
      <c r="AJ33" s="99"/>
      <c r="AK33" s="97" t="str">
        <f>informatieblad!$A$7</f>
        <v>FL30</v>
      </c>
      <c r="AL33" s="66"/>
      <c r="AM33" s="99" t="str">
        <f>informatieblad!$A$8</f>
        <v>FL40</v>
      </c>
      <c r="AN33" s="66"/>
      <c r="AO33" s="97" t="str">
        <f>informatieblad!$A$5</f>
        <v>none</v>
      </c>
      <c r="AP33" s="264"/>
      <c r="AR33" s="266" t="s">
        <v>17</v>
      </c>
      <c r="AT33" s="83"/>
      <c r="AU33" s="266" t="s">
        <v>37</v>
      </c>
      <c r="AW33" s="269" t="s">
        <v>38</v>
      </c>
      <c r="AX33" s="272"/>
      <c r="AY33" s="272">
        <f>informatieblad!$B$3</f>
        <v>0</v>
      </c>
      <c r="AZ33" s="272">
        <f>informatieblad!$B$3</f>
        <v>0</v>
      </c>
      <c r="BA33" s="272">
        <f>informatieblad!$B$4</f>
        <v>0</v>
      </c>
      <c r="BB33" s="264">
        <f>informatieblad!$B$4</f>
        <v>0</v>
      </c>
    </row>
    <row r="34" spans="1:54">
      <c r="A34" s="446"/>
      <c r="B34" s="102" t="str">
        <f>IF($C35&gt;0,IF(MAX(B33:C33)&lt;informatieblad!$Q$4,informatieblad!$P$3,IF(MAX(B33:C33)&gt;informatieblad!$R$4,informatieblad!$P$5,informatieblad!$P$4)),"")</f>
        <v/>
      </c>
      <c r="C34" s="102" t="str">
        <f>IF($C35&gt;0,IF(MAX(B33:C33)&lt;informatieblad!$Q$4,informatieblad!$P$3,IF(MAX(B33:C33)&gt;informatieblad!$R$4,informatieblad!$P$5,informatieblad!$P$4)),"")</f>
        <v/>
      </c>
      <c r="D34" s="88"/>
      <c r="E34" s="89" t="str">
        <f>A33&amp;"-"&amp;informatieblad!$B$12&amp;"-"&amp;B33&amp;"-"&amp;C33&amp;"-"&amp;D33&amp;"-"&amp;B34&amp;"-"&amp;C34&amp;"-"&amp;F35</f>
        <v>-RctD------Options None</v>
      </c>
      <c r="F34" s="90"/>
      <c r="G34" s="90"/>
      <c r="H34" s="91"/>
      <c r="M34" s="103">
        <f>A33</f>
        <v>0</v>
      </c>
      <c r="N34" s="104" t="s">
        <v>39</v>
      </c>
      <c r="O34" s="104" t="s">
        <v>39</v>
      </c>
      <c r="P34" s="104" t="s">
        <v>40</v>
      </c>
      <c r="Q34" s="104" t="s">
        <v>40</v>
      </c>
      <c r="R34" s="104" t="s">
        <v>40</v>
      </c>
      <c r="S34" s="105"/>
      <c r="T34" s="106" t="s">
        <v>27</v>
      </c>
      <c r="U34" s="106" t="s">
        <v>40</v>
      </c>
      <c r="V34" s="106" t="s">
        <v>41</v>
      </c>
      <c r="W34" s="104" t="s">
        <v>42</v>
      </c>
      <c r="X34" s="104" t="s">
        <v>43</v>
      </c>
      <c r="Y34" s="104"/>
      <c r="Z34" s="104" t="s">
        <v>44</v>
      </c>
      <c r="AA34" s="107"/>
      <c r="AB34" s="104" t="s">
        <v>45</v>
      </c>
      <c r="AC34" s="104" t="s">
        <v>42</v>
      </c>
      <c r="AD34" s="104" t="s">
        <v>43</v>
      </c>
      <c r="AE34" s="104" t="s">
        <v>46</v>
      </c>
      <c r="AF34" s="108"/>
      <c r="AG34" s="109"/>
      <c r="AI34" s="262" t="str">
        <f>informatieblad!$A$2</f>
        <v>FL20 loose</v>
      </c>
      <c r="AJ34" s="263"/>
      <c r="AK34" s="262" t="str">
        <f>informatieblad!$A$3</f>
        <v>FL30 loose</v>
      </c>
      <c r="AL34" s="105"/>
      <c r="AM34" s="263" t="str">
        <f>informatieblad!$A$4</f>
        <v>FL40 loose</v>
      </c>
      <c r="AN34" s="105"/>
      <c r="AO34" s="265"/>
      <c r="AP34" s="105"/>
      <c r="AR34" s="267"/>
      <c r="AT34" s="83" t="str">
        <f>'UC mounting materials '!$B$10</f>
        <v>Rail 30x15</v>
      </c>
      <c r="AU34" s="327">
        <f>IF(Z35&lt;1000,(Z35+100),0)*C35</f>
        <v>0</v>
      </c>
      <c r="AW34" s="265" t="s">
        <v>47</v>
      </c>
      <c r="AX34" s="106" t="s">
        <v>48</v>
      </c>
      <c r="AY34" s="83" t="s">
        <v>23</v>
      </c>
      <c r="AZ34" s="83" t="s">
        <v>23</v>
      </c>
      <c r="BA34" s="83" t="s">
        <v>23</v>
      </c>
      <c r="BB34" s="273" t="s">
        <v>23</v>
      </c>
    </row>
    <row r="35" spans="1:54" ht="15.75" thickBot="1">
      <c r="A35" s="447"/>
      <c r="B35" s="92" t="s">
        <v>23</v>
      </c>
      <c r="C35" s="110"/>
      <c r="D35" s="94">
        <f>C35*O35</f>
        <v>0</v>
      </c>
      <c r="E35" s="95" t="s">
        <v>24</v>
      </c>
      <c r="F35" s="451" t="s">
        <v>25</v>
      </c>
      <c r="G35" s="452"/>
      <c r="H35" s="453"/>
      <c r="M35" s="111"/>
      <c r="N35" s="112">
        <f>(((2*(B33+C33))*D33)/1000000)</f>
        <v>0</v>
      </c>
      <c r="O35" s="112">
        <f>((IF(N35&lt;=informatieblad!$I$12,informatieblad!$I$12,IF(N35&gt;=informatieblad!$I$12,N35))))</f>
        <v>0.5</v>
      </c>
      <c r="P35" s="112">
        <f>(((2*B33)+(2*C33))*D33)/1000000</f>
        <v>0</v>
      </c>
      <c r="Q35" s="112">
        <f>((IF(P35&lt;=informatieblad!$H$12,informatieblad!$H$12,IF(P35&gt;=informatieblad!$H$12,P35))))</f>
        <v>0</v>
      </c>
      <c r="R35" s="113">
        <f>((Q35*X35)+(Q35*U35))*C35</f>
        <v>0</v>
      </c>
      <c r="S35" s="114">
        <f>((O35*W35)+(O35*V35))*C35</f>
        <v>0</v>
      </c>
      <c r="T35" s="115" t="str">
        <f>F35</f>
        <v>Options None</v>
      </c>
      <c r="U35" s="116">
        <f>VLOOKUP(F35,informatieblad!$A$37:$D$41,2,FALSE)</f>
        <v>0</v>
      </c>
      <c r="V35" s="116">
        <f>VLOOKUP(F35,informatieblad!$A$37:$D$41,4,FALSE)</f>
        <v>0</v>
      </c>
      <c r="W35" s="117">
        <f>((IF(D33&lt;=900,AC35,IF(D33&gt;=900,AE35))))</f>
        <v>45.1248</v>
      </c>
      <c r="X35" s="118">
        <f>((IF(D33&lt;=900,AB35,IF(D33&gt;=900,AD35))))</f>
        <v>0</v>
      </c>
      <c r="Y35" s="119"/>
      <c r="Z35" s="119">
        <f>(MAX(B33:C33))</f>
        <v>0</v>
      </c>
      <c r="AA35" s="119">
        <f>LOOKUP(Z35,informatieblad!$C$27:$C$32,informatieblad!$A$27:$A$32)</f>
        <v>0.5</v>
      </c>
      <c r="AB35" s="118">
        <f>VLOOKUP(AA35,informatieblad!$A$27:$M$32,6,FALSE)</f>
        <v>0</v>
      </c>
      <c r="AC35" s="118">
        <f>VLOOKUP(AA35,informatieblad!$A$27:$M$32,8,FALSE)</f>
        <v>45.1248</v>
      </c>
      <c r="AD35" s="118">
        <f>VLOOKUP(AA35,informatieblad!$A$27:$M$32,9,FALSE)</f>
        <v>0</v>
      </c>
      <c r="AE35" s="118">
        <f>VLOOKUP(AA35,informatieblad!$A$27:$M$32,11,FALSE)</f>
        <v>32.463200000000001</v>
      </c>
      <c r="AF35" s="120">
        <f>VLOOKUP(AA35,informatieblad!$A$27:$M$32,13,FALSE)</f>
        <v>4</v>
      </c>
      <c r="AG35" s="121">
        <f>ROUND((AF35*P35),1)</f>
        <v>0</v>
      </c>
      <c r="AI35" s="111">
        <f>(IF(B34=AI33,((2*B33)+(2*C33)),IF(B34=AI34,((2*B33)+(2*C33)),0)))*C35</f>
        <v>0</v>
      </c>
      <c r="AJ35" s="261">
        <f>(IF(C34=AI33,((2*B33)+(2*C33)),IF(C34=AI34,((2*B33)+(2*C33)),0)))*C35</f>
        <v>0</v>
      </c>
      <c r="AK35" s="111">
        <f>(IF(B34=AK33,((2*B33)+(2*C33)),IF(B34=AK34,((2*B33)+(2*C33)),0)))*C35</f>
        <v>0</v>
      </c>
      <c r="AL35" s="260">
        <f>(IF(C34=AK33,((2*B33)+(2*C33)),IF(C34=AK34,((2*B33)+(2*C33)),0)))*C35</f>
        <v>0</v>
      </c>
      <c r="AM35" s="261">
        <f>(IF(B34=AM33,((2*B33)+(2*C33)),IF(B34=AM34,((2*B33)+(2*C33)),0)))*C35</f>
        <v>0</v>
      </c>
      <c r="AN35" s="260">
        <f>(IF(C34=AM33,((2*B33)+(2*C33)),IF(C34=AM34,((2*B33)+(2*C33)),0)))*C35</f>
        <v>0</v>
      </c>
      <c r="AO35" s="111">
        <f>(IF(B34=AO33,((2*B33)+(2*C33)),0))*C35</f>
        <v>0</v>
      </c>
      <c r="AP35" s="260">
        <f>(IF(C34=AO33,((2*B33)+(2*C33)),0))*C35</f>
        <v>0</v>
      </c>
      <c r="AR35" s="268">
        <f>D33*C35</f>
        <v>0</v>
      </c>
      <c r="AT35" s="83" t="str">
        <f>'UC mounting materials '!$B$11</f>
        <v>Rail 41x41</v>
      </c>
      <c r="AU35" s="268">
        <f>IF(Z35&gt;999,(Z35+100),0)*C35</f>
        <v>0</v>
      </c>
      <c r="AW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AX35" s="275" t="str">
        <f>IF(C34=informatieblad!$A$6,informatieblad!$B$6,IF(C34=informatieblad!$A$7,informatieblad!$B$7,IF(C34=informatieblad!$A$8,informatieblad!$B$8,IF(C34=informatieblad!$A$2,informatieblad!$B$2,IF(C34=informatieblad!$A$3,informatieblad!$B$3,IF(C34=informatieblad!$A$4,informatieblad!$B$4,IF(C34=informatieblad!$A$5,informatieblad!$B$5,"")))))))</f>
        <v/>
      </c>
      <c r="AY35" s="276">
        <f>IF(AW35=AY33,(4*C35),0)</f>
        <v>0</v>
      </c>
      <c r="AZ35" s="276">
        <f>IF(AX35=AY33,(4*C35),0)</f>
        <v>0</v>
      </c>
      <c r="BA35" s="276">
        <f>IF(AW35=BA33,(4*C35),0)</f>
        <v>0</v>
      </c>
      <c r="BB35" s="274">
        <f>IF(AX35=BA33,(4*C35),0)</f>
        <v>0</v>
      </c>
    </row>
    <row r="36" spans="1:54" ht="5.0999999999999996" customHeight="1" thickBot="1">
      <c r="A36" s="122"/>
      <c r="B36" s="122"/>
      <c r="C36" s="122"/>
      <c r="D36" s="122"/>
      <c r="E36" s="122"/>
      <c r="F36" s="122"/>
      <c r="G36" s="122"/>
      <c r="H36" s="122"/>
      <c r="AT36" s="83"/>
    </row>
    <row r="37" spans="1:54" ht="15.75" thickBot="1">
      <c r="A37" s="445"/>
      <c r="B37" s="96"/>
      <c r="C37" s="96"/>
      <c r="D37" s="96"/>
      <c r="E37" s="448"/>
      <c r="F37" s="449"/>
      <c r="G37" s="449"/>
      <c r="H37" s="450"/>
      <c r="I37" s="345" t="s">
        <v>20</v>
      </c>
      <c r="M37" s="97" t="s">
        <v>14</v>
      </c>
      <c r="N37" s="98" t="s">
        <v>27</v>
      </c>
      <c r="O37" s="98" t="s">
        <v>28</v>
      </c>
      <c r="P37" s="98" t="s">
        <v>27</v>
      </c>
      <c r="Q37" s="98" t="s">
        <v>28</v>
      </c>
      <c r="R37" s="98" t="s">
        <v>29</v>
      </c>
      <c r="S37" s="66" t="s">
        <v>30</v>
      </c>
      <c r="T37" s="99" t="s">
        <v>31</v>
      </c>
      <c r="U37" s="99"/>
      <c r="V37" s="99"/>
      <c r="W37" s="98" t="s">
        <v>32</v>
      </c>
      <c r="X37" s="98" t="s">
        <v>32</v>
      </c>
      <c r="Y37" s="98"/>
      <c r="Z37" s="98" t="s">
        <v>33</v>
      </c>
      <c r="AA37" s="100" t="s">
        <v>34</v>
      </c>
      <c r="AB37" s="98" t="s">
        <v>32</v>
      </c>
      <c r="AC37" s="98" t="s">
        <v>32</v>
      </c>
      <c r="AD37" s="98" t="s">
        <v>32</v>
      </c>
      <c r="AE37" s="98" t="s">
        <v>32</v>
      </c>
      <c r="AF37" s="98" t="s">
        <v>35</v>
      </c>
      <c r="AG37" s="101" t="s">
        <v>36</v>
      </c>
      <c r="AI37" s="97" t="str">
        <f>informatieblad!$A$6</f>
        <v>FL20</v>
      </c>
      <c r="AJ37" s="99"/>
      <c r="AK37" s="97" t="str">
        <f>informatieblad!$A$7</f>
        <v>FL30</v>
      </c>
      <c r="AL37" s="66"/>
      <c r="AM37" s="99" t="str">
        <f>informatieblad!$A$8</f>
        <v>FL40</v>
      </c>
      <c r="AN37" s="66"/>
      <c r="AO37" s="97" t="str">
        <f>informatieblad!$A$5</f>
        <v>none</v>
      </c>
      <c r="AP37" s="264"/>
      <c r="AR37" s="266" t="s">
        <v>17</v>
      </c>
      <c r="AT37" s="83"/>
      <c r="AU37" s="266" t="s">
        <v>37</v>
      </c>
      <c r="AW37" s="269" t="s">
        <v>38</v>
      </c>
      <c r="AX37" s="272"/>
      <c r="AY37" s="272">
        <f>informatieblad!$B$3</f>
        <v>0</v>
      </c>
      <c r="AZ37" s="272">
        <f>informatieblad!$B$3</f>
        <v>0</v>
      </c>
      <c r="BA37" s="272">
        <f>informatieblad!$B$4</f>
        <v>0</v>
      </c>
      <c r="BB37" s="264">
        <f>informatieblad!$B$4</f>
        <v>0</v>
      </c>
    </row>
    <row r="38" spans="1:54">
      <c r="A38" s="446"/>
      <c r="B38" s="102" t="str">
        <f>IF($C39&gt;0,IF(MAX(B37:C37)&lt;informatieblad!$Q$4,informatieblad!$P$3,IF(MAX(B37:C37)&gt;informatieblad!$R$4,informatieblad!$P$5,informatieblad!$P$4)),"")</f>
        <v/>
      </c>
      <c r="C38" s="102" t="str">
        <f>IF($C39&gt;0,IF(MAX(B37:C37)&lt;informatieblad!$Q$4,informatieblad!$P$3,IF(MAX(B37:C37)&gt;informatieblad!$R$4,informatieblad!$P$5,informatieblad!$P$4)),"")</f>
        <v/>
      </c>
      <c r="D38" s="88"/>
      <c r="E38" s="89" t="str">
        <f>A37&amp;"-"&amp;informatieblad!$B$12&amp;"-"&amp;B37&amp;"-"&amp;C37&amp;"-"&amp;D37&amp;"-"&amp;B38&amp;"-"&amp;C38&amp;"-"&amp;F39</f>
        <v>-RctD------Options None</v>
      </c>
      <c r="F38" s="90"/>
      <c r="G38" s="90"/>
      <c r="H38" s="91"/>
      <c r="M38" s="103">
        <f>A37</f>
        <v>0</v>
      </c>
      <c r="N38" s="104" t="s">
        <v>39</v>
      </c>
      <c r="O38" s="104" t="s">
        <v>39</v>
      </c>
      <c r="P38" s="104" t="s">
        <v>40</v>
      </c>
      <c r="Q38" s="104" t="s">
        <v>40</v>
      </c>
      <c r="R38" s="104" t="s">
        <v>40</v>
      </c>
      <c r="S38" s="105"/>
      <c r="T38" s="106" t="s">
        <v>27</v>
      </c>
      <c r="U38" s="106" t="s">
        <v>40</v>
      </c>
      <c r="V38" s="106" t="s">
        <v>41</v>
      </c>
      <c r="W38" s="104" t="s">
        <v>42</v>
      </c>
      <c r="X38" s="104" t="s">
        <v>43</v>
      </c>
      <c r="Y38" s="104"/>
      <c r="Z38" s="104" t="s">
        <v>44</v>
      </c>
      <c r="AA38" s="107"/>
      <c r="AB38" s="104" t="s">
        <v>45</v>
      </c>
      <c r="AC38" s="104" t="s">
        <v>42</v>
      </c>
      <c r="AD38" s="104" t="s">
        <v>43</v>
      </c>
      <c r="AE38" s="104" t="s">
        <v>46</v>
      </c>
      <c r="AF38" s="108"/>
      <c r="AG38" s="109"/>
      <c r="AI38" s="262" t="str">
        <f>informatieblad!$A$2</f>
        <v>FL20 loose</v>
      </c>
      <c r="AJ38" s="263"/>
      <c r="AK38" s="262" t="str">
        <f>informatieblad!$A$3</f>
        <v>FL30 loose</v>
      </c>
      <c r="AL38" s="105"/>
      <c r="AM38" s="263" t="str">
        <f>informatieblad!$A$4</f>
        <v>FL40 loose</v>
      </c>
      <c r="AN38" s="105"/>
      <c r="AO38" s="265"/>
      <c r="AP38" s="105"/>
      <c r="AR38" s="267"/>
      <c r="AT38" s="83" t="str">
        <f>'UC mounting materials '!$B$10</f>
        <v>Rail 30x15</v>
      </c>
      <c r="AU38" s="327">
        <f>IF(Z39&lt;1000,(Z39+100),0)*C39</f>
        <v>0</v>
      </c>
      <c r="AW38" s="265" t="s">
        <v>47</v>
      </c>
      <c r="AX38" s="106" t="s">
        <v>48</v>
      </c>
      <c r="AY38" s="83" t="s">
        <v>23</v>
      </c>
      <c r="AZ38" s="83" t="s">
        <v>23</v>
      </c>
      <c r="BA38" s="83" t="s">
        <v>23</v>
      </c>
      <c r="BB38" s="273" t="s">
        <v>23</v>
      </c>
    </row>
    <row r="39" spans="1:54" ht="15.75" thickBot="1">
      <c r="A39" s="447"/>
      <c r="B39" s="92" t="s">
        <v>23</v>
      </c>
      <c r="C39" s="110"/>
      <c r="D39" s="94">
        <f>C39*O39</f>
        <v>0</v>
      </c>
      <c r="E39" s="95" t="s">
        <v>24</v>
      </c>
      <c r="F39" s="451" t="s">
        <v>25</v>
      </c>
      <c r="G39" s="452"/>
      <c r="H39" s="453"/>
      <c r="M39" s="111"/>
      <c r="N39" s="112">
        <f>(((2*(B37+C37))*D37)/1000000)</f>
        <v>0</v>
      </c>
      <c r="O39" s="112">
        <f>((IF(N39&lt;=informatieblad!$I$12,informatieblad!$I$12,IF(N39&gt;=informatieblad!$I$12,N39))))</f>
        <v>0.5</v>
      </c>
      <c r="P39" s="112">
        <f>(((2*B37)+(2*C37))*D37)/1000000</f>
        <v>0</v>
      </c>
      <c r="Q39" s="112">
        <f>((IF(P39&lt;=informatieblad!$H$12,informatieblad!$H$12,IF(P39&gt;=informatieblad!$H$12,P39))))</f>
        <v>0</v>
      </c>
      <c r="R39" s="113">
        <f>((Q39*X39)+(Q39*U39))*C39</f>
        <v>0</v>
      </c>
      <c r="S39" s="114">
        <f>((O39*W39)+(O39*V39))*C39</f>
        <v>0</v>
      </c>
      <c r="T39" s="115" t="str">
        <f>F39</f>
        <v>Options None</v>
      </c>
      <c r="U39" s="116">
        <f>VLOOKUP(F39,informatieblad!$A$37:$D$41,2,FALSE)</f>
        <v>0</v>
      </c>
      <c r="V39" s="116">
        <f>VLOOKUP(F39,informatieblad!$A$37:$D$41,4,FALSE)</f>
        <v>0</v>
      </c>
      <c r="W39" s="117">
        <f>((IF(D37&lt;=900,AC39,IF(D37&gt;=900,AE39))))</f>
        <v>45.1248</v>
      </c>
      <c r="X39" s="118">
        <f>((IF(D37&lt;=900,AB39,IF(D37&gt;=900,AD39))))</f>
        <v>0</v>
      </c>
      <c r="Y39" s="119"/>
      <c r="Z39" s="119">
        <f>(MAX(B37:C37))</f>
        <v>0</v>
      </c>
      <c r="AA39" s="119">
        <f>LOOKUP(Z39,informatieblad!$C$27:$C$32,informatieblad!$A$27:$A$32)</f>
        <v>0.5</v>
      </c>
      <c r="AB39" s="118">
        <f>VLOOKUP(AA39,informatieblad!$A$27:$M$32,6,FALSE)</f>
        <v>0</v>
      </c>
      <c r="AC39" s="118">
        <f>VLOOKUP(AA39,informatieblad!$A$27:$M$32,8,FALSE)</f>
        <v>45.1248</v>
      </c>
      <c r="AD39" s="118">
        <f>VLOOKUP(AA39,informatieblad!$A$27:$M$32,9,FALSE)</f>
        <v>0</v>
      </c>
      <c r="AE39" s="118">
        <f>VLOOKUP(AA39,informatieblad!$A$27:$M$32,11,FALSE)</f>
        <v>32.463200000000001</v>
      </c>
      <c r="AF39" s="120">
        <f>VLOOKUP(AA39,informatieblad!$A$27:$M$32,13,FALSE)</f>
        <v>4</v>
      </c>
      <c r="AG39" s="121">
        <f>ROUND((AF39*P39),1)</f>
        <v>0</v>
      </c>
      <c r="AI39" s="111">
        <f>(IF(B38=AI37,((2*B37)+(2*C37)),IF(B38=AI38,((2*B37)+(2*C37)),0)))*C39</f>
        <v>0</v>
      </c>
      <c r="AJ39" s="261">
        <f>(IF(C38=AI37,((2*B37)+(2*C37)),IF(C38=AI38,((2*B37)+(2*C37)),0)))*C39</f>
        <v>0</v>
      </c>
      <c r="AK39" s="111">
        <f>(IF(B38=AK37,((2*B37)+(2*C37)),IF(B38=AK38,((2*B37)+(2*C37)),0)))*C39</f>
        <v>0</v>
      </c>
      <c r="AL39" s="260">
        <f>(IF(C38=AK37,((2*B37)+(2*C37)),IF(C38=AK38,((2*B37)+(2*C37)),0)))*C39</f>
        <v>0</v>
      </c>
      <c r="AM39" s="261">
        <f>(IF(B38=AM37,((2*B37)+(2*C37)),IF(B38=AM38,((2*B37)+(2*C37)),0)))*C39</f>
        <v>0</v>
      </c>
      <c r="AN39" s="260">
        <f>(IF(C38=AM37,((2*B37)+(2*C37)),IF(C38=AM38,((2*B37)+(2*C37)),0)))*C39</f>
        <v>0</v>
      </c>
      <c r="AO39" s="111">
        <f>(IF(B38=AO37,((2*B37)+(2*C37)),0))*C39</f>
        <v>0</v>
      </c>
      <c r="AP39" s="260">
        <f>(IF(C38=AO37,((2*B37)+(2*C37)),0))*C39</f>
        <v>0</v>
      </c>
      <c r="AR39" s="268">
        <f>D37*C39</f>
        <v>0</v>
      </c>
      <c r="AT39" s="83" t="str">
        <f>'UC mounting materials '!$B$11</f>
        <v>Rail 41x41</v>
      </c>
      <c r="AU39" s="268">
        <f>IF(Z39&gt;999,(Z39+100),0)*C39</f>
        <v>0</v>
      </c>
      <c r="AW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AX39" s="275" t="str">
        <f>IF(C38=informatieblad!$A$6,informatieblad!$B$6,IF(C38=informatieblad!$A$7,informatieblad!$B$7,IF(C38=informatieblad!$A$8,informatieblad!$B$8,IF(C38=informatieblad!$A$2,informatieblad!$B$2,IF(C38=informatieblad!$A$3,informatieblad!$B$3,IF(C38=informatieblad!$A$4,informatieblad!$B$4,IF(C38=informatieblad!$A$5,informatieblad!$B$5,"")))))))</f>
        <v/>
      </c>
      <c r="AY39" s="276">
        <f>IF(AW39=AY37,(4*C39),0)</f>
        <v>0</v>
      </c>
      <c r="AZ39" s="276">
        <f>IF(AX39=AY37,(4*C39),0)</f>
        <v>0</v>
      </c>
      <c r="BA39" s="276">
        <f>IF(AW39=BA37,(4*C39),0)</f>
        <v>0</v>
      </c>
      <c r="BB39" s="274">
        <f>IF(AX39=BA37,(4*C39),0)</f>
        <v>0</v>
      </c>
    </row>
    <row r="40" spans="1:54" ht="5.0999999999999996" customHeight="1" thickBot="1">
      <c r="A40" s="122"/>
      <c r="B40" s="122"/>
      <c r="C40" s="122"/>
      <c r="D40" s="122"/>
      <c r="E40" s="122"/>
      <c r="F40" s="122"/>
      <c r="G40" s="122"/>
      <c r="H40" s="122"/>
      <c r="AT40" s="83"/>
    </row>
    <row r="41" spans="1:54" ht="15.75" thickBot="1">
      <c r="A41" s="445"/>
      <c r="B41" s="96"/>
      <c r="C41" s="96"/>
      <c r="D41" s="96"/>
      <c r="E41" s="448"/>
      <c r="F41" s="449"/>
      <c r="G41" s="449"/>
      <c r="H41" s="450"/>
      <c r="I41" s="345" t="s">
        <v>20</v>
      </c>
      <c r="M41" s="97" t="s">
        <v>14</v>
      </c>
      <c r="N41" s="98" t="s">
        <v>27</v>
      </c>
      <c r="O41" s="98" t="s">
        <v>28</v>
      </c>
      <c r="P41" s="98" t="s">
        <v>27</v>
      </c>
      <c r="Q41" s="98" t="s">
        <v>28</v>
      </c>
      <c r="R41" s="98" t="s">
        <v>29</v>
      </c>
      <c r="S41" s="66" t="s">
        <v>30</v>
      </c>
      <c r="T41" s="99" t="s">
        <v>31</v>
      </c>
      <c r="U41" s="99"/>
      <c r="V41" s="99"/>
      <c r="W41" s="98" t="s">
        <v>32</v>
      </c>
      <c r="X41" s="98" t="s">
        <v>32</v>
      </c>
      <c r="Y41" s="98"/>
      <c r="Z41" s="98" t="s">
        <v>33</v>
      </c>
      <c r="AA41" s="100" t="s">
        <v>34</v>
      </c>
      <c r="AB41" s="98" t="s">
        <v>32</v>
      </c>
      <c r="AC41" s="98" t="s">
        <v>32</v>
      </c>
      <c r="AD41" s="98" t="s">
        <v>32</v>
      </c>
      <c r="AE41" s="98" t="s">
        <v>32</v>
      </c>
      <c r="AF41" s="98" t="s">
        <v>35</v>
      </c>
      <c r="AG41" s="101" t="s">
        <v>36</v>
      </c>
      <c r="AI41" s="97" t="str">
        <f>informatieblad!$A$6</f>
        <v>FL20</v>
      </c>
      <c r="AJ41" s="99"/>
      <c r="AK41" s="97" t="str">
        <f>informatieblad!$A$7</f>
        <v>FL30</v>
      </c>
      <c r="AL41" s="66"/>
      <c r="AM41" s="99" t="str">
        <f>informatieblad!$A$8</f>
        <v>FL40</v>
      </c>
      <c r="AN41" s="66"/>
      <c r="AO41" s="97" t="str">
        <f>informatieblad!$A$5</f>
        <v>none</v>
      </c>
      <c r="AP41" s="264"/>
      <c r="AR41" s="266" t="s">
        <v>17</v>
      </c>
      <c r="AT41" s="83"/>
      <c r="AU41" s="266" t="s">
        <v>37</v>
      </c>
      <c r="AW41" s="269" t="s">
        <v>38</v>
      </c>
      <c r="AX41" s="272"/>
      <c r="AY41" s="272">
        <f>informatieblad!$B$3</f>
        <v>0</v>
      </c>
      <c r="AZ41" s="272">
        <f>informatieblad!$B$3</f>
        <v>0</v>
      </c>
      <c r="BA41" s="272">
        <f>informatieblad!$B$4</f>
        <v>0</v>
      </c>
      <c r="BB41" s="264">
        <f>informatieblad!$B$4</f>
        <v>0</v>
      </c>
    </row>
    <row r="42" spans="1:54">
      <c r="A42" s="446"/>
      <c r="B42" s="102" t="str">
        <f>IF($C43&gt;0,IF(MAX(B41:C41)&lt;informatieblad!$Q$4,informatieblad!$P$3,IF(MAX(B41:C41)&gt;informatieblad!$R$4,informatieblad!$P$5,informatieblad!$P$4)),"")</f>
        <v/>
      </c>
      <c r="C42" s="102" t="str">
        <f>IF($C43&gt;0,IF(MAX(B41:C41)&lt;informatieblad!$Q$4,informatieblad!$P$3,IF(MAX(B41:C41)&gt;informatieblad!$R$4,informatieblad!$P$5,informatieblad!$P$4)),"")</f>
        <v/>
      </c>
      <c r="D42" s="88"/>
      <c r="E42" s="89" t="str">
        <f>A41&amp;"-"&amp;informatieblad!$B$12&amp;"-"&amp;B41&amp;"-"&amp;C41&amp;"-"&amp;D41&amp;"-"&amp;B42&amp;"-"&amp;C42&amp;"-"&amp;F43</f>
        <v>-RctD------Options None</v>
      </c>
      <c r="F42" s="90"/>
      <c r="G42" s="90"/>
      <c r="H42" s="91"/>
      <c r="M42" s="103">
        <f>A41</f>
        <v>0</v>
      </c>
      <c r="N42" s="104" t="s">
        <v>39</v>
      </c>
      <c r="O42" s="104" t="s">
        <v>39</v>
      </c>
      <c r="P42" s="104" t="s">
        <v>40</v>
      </c>
      <c r="Q42" s="104" t="s">
        <v>40</v>
      </c>
      <c r="R42" s="104" t="s">
        <v>40</v>
      </c>
      <c r="S42" s="105"/>
      <c r="T42" s="106" t="s">
        <v>27</v>
      </c>
      <c r="U42" s="106" t="s">
        <v>40</v>
      </c>
      <c r="V42" s="106" t="s">
        <v>41</v>
      </c>
      <c r="W42" s="104" t="s">
        <v>42</v>
      </c>
      <c r="X42" s="104" t="s">
        <v>43</v>
      </c>
      <c r="Y42" s="104"/>
      <c r="Z42" s="104" t="s">
        <v>44</v>
      </c>
      <c r="AA42" s="107"/>
      <c r="AB42" s="104" t="s">
        <v>45</v>
      </c>
      <c r="AC42" s="104" t="s">
        <v>42</v>
      </c>
      <c r="AD42" s="104" t="s">
        <v>43</v>
      </c>
      <c r="AE42" s="104" t="s">
        <v>46</v>
      </c>
      <c r="AF42" s="108"/>
      <c r="AG42" s="109"/>
      <c r="AI42" s="262" t="str">
        <f>informatieblad!$A$2</f>
        <v>FL20 loose</v>
      </c>
      <c r="AJ42" s="263"/>
      <c r="AK42" s="262" t="str">
        <f>informatieblad!$A$3</f>
        <v>FL30 loose</v>
      </c>
      <c r="AL42" s="105"/>
      <c r="AM42" s="263" t="str">
        <f>informatieblad!$A$4</f>
        <v>FL40 loose</v>
      </c>
      <c r="AN42" s="105"/>
      <c r="AO42" s="265"/>
      <c r="AP42" s="105"/>
      <c r="AR42" s="267"/>
      <c r="AT42" s="83" t="str">
        <f>'UC mounting materials '!$B$10</f>
        <v>Rail 30x15</v>
      </c>
      <c r="AU42" s="327">
        <f>IF(Z43&lt;1000,(Z43+100),0)*C43</f>
        <v>0</v>
      </c>
      <c r="AW42" s="265" t="s">
        <v>47</v>
      </c>
      <c r="AX42" s="106" t="s">
        <v>48</v>
      </c>
      <c r="AY42" s="83" t="s">
        <v>23</v>
      </c>
      <c r="AZ42" s="83" t="s">
        <v>23</v>
      </c>
      <c r="BA42" s="83" t="s">
        <v>23</v>
      </c>
      <c r="BB42" s="273" t="s">
        <v>23</v>
      </c>
    </row>
    <row r="43" spans="1:54" ht="15.75" thickBot="1">
      <c r="A43" s="447"/>
      <c r="B43" s="92" t="s">
        <v>23</v>
      </c>
      <c r="C43" s="110"/>
      <c r="D43" s="94">
        <f>C43*O43</f>
        <v>0</v>
      </c>
      <c r="E43" s="95" t="s">
        <v>24</v>
      </c>
      <c r="F43" s="451" t="s">
        <v>25</v>
      </c>
      <c r="G43" s="452"/>
      <c r="H43" s="453"/>
      <c r="M43" s="111"/>
      <c r="N43" s="112">
        <f>(((2*(B41+C41))*D41)/1000000)</f>
        <v>0</v>
      </c>
      <c r="O43" s="112">
        <f>((IF(N43&lt;=informatieblad!$I$12,informatieblad!$I$12,IF(N43&gt;=informatieblad!$I$12,N43))))</f>
        <v>0.5</v>
      </c>
      <c r="P43" s="112">
        <f>(((2*B41)+(2*C41))*D41)/1000000</f>
        <v>0</v>
      </c>
      <c r="Q43" s="112">
        <f>((IF(P43&lt;=informatieblad!$H$12,informatieblad!$H$12,IF(P43&gt;=informatieblad!$H$12,P43))))</f>
        <v>0</v>
      </c>
      <c r="R43" s="113">
        <f>((Q43*X43)+(Q43*U43))*C43</f>
        <v>0</v>
      </c>
      <c r="S43" s="114">
        <f>((O43*W43)+(O43*V43))*C43</f>
        <v>0</v>
      </c>
      <c r="T43" s="115" t="str">
        <f>F43</f>
        <v>Options None</v>
      </c>
      <c r="U43" s="116">
        <f>VLOOKUP(F43,informatieblad!$A$37:$D$41,2,FALSE)</f>
        <v>0</v>
      </c>
      <c r="V43" s="116">
        <f>VLOOKUP(F43,informatieblad!$A$37:$D$41,4,FALSE)</f>
        <v>0</v>
      </c>
      <c r="W43" s="117">
        <f>((IF(D41&lt;=900,AC43,IF(D41&gt;=900,AE43))))</f>
        <v>45.1248</v>
      </c>
      <c r="X43" s="118">
        <f>((IF(D41&lt;=900,AB43,IF(D41&gt;=900,AD43))))</f>
        <v>0</v>
      </c>
      <c r="Y43" s="119"/>
      <c r="Z43" s="119">
        <f>(MAX(B41:C41))</f>
        <v>0</v>
      </c>
      <c r="AA43" s="119">
        <f>LOOKUP(Z43,informatieblad!$C$27:$C$32,informatieblad!$A$27:$A$32)</f>
        <v>0.5</v>
      </c>
      <c r="AB43" s="118">
        <f>VLOOKUP(AA43,informatieblad!$A$27:$M$32,6,FALSE)</f>
        <v>0</v>
      </c>
      <c r="AC43" s="118">
        <f>VLOOKUP(AA43,informatieblad!$A$27:$M$32,8,FALSE)</f>
        <v>45.1248</v>
      </c>
      <c r="AD43" s="118">
        <f>VLOOKUP(AA43,informatieblad!$A$27:$M$32,9,FALSE)</f>
        <v>0</v>
      </c>
      <c r="AE43" s="118">
        <f>VLOOKUP(AA43,informatieblad!$A$27:$M$32,11,FALSE)</f>
        <v>32.463200000000001</v>
      </c>
      <c r="AF43" s="120">
        <f>VLOOKUP(AA43,informatieblad!$A$27:$M$32,13,FALSE)</f>
        <v>4</v>
      </c>
      <c r="AG43" s="121">
        <f>ROUND((AF43*P43),1)</f>
        <v>0</v>
      </c>
      <c r="AI43" s="111">
        <f>(IF(B42=AI41,((2*B41)+(2*C41)),IF(B42=AI42,((2*B41)+(2*C41)),0)))*C43</f>
        <v>0</v>
      </c>
      <c r="AJ43" s="261">
        <f>(IF(C42=AI41,((2*B41)+(2*C41)),IF(C42=AI42,((2*B41)+(2*C41)),0)))*C43</f>
        <v>0</v>
      </c>
      <c r="AK43" s="111">
        <f>(IF(B42=AK41,((2*B41)+(2*C41)),IF(B42=AK42,((2*B41)+(2*C41)),0)))*C43</f>
        <v>0</v>
      </c>
      <c r="AL43" s="260">
        <f>(IF(C42=AK41,((2*B41)+(2*C41)),IF(C42=AK42,((2*B41)+(2*C41)),0)))*C43</f>
        <v>0</v>
      </c>
      <c r="AM43" s="261">
        <f>(IF(B42=AM41,((2*B41)+(2*C41)),IF(B42=AM42,((2*B41)+(2*C41)),0)))*C43</f>
        <v>0</v>
      </c>
      <c r="AN43" s="260">
        <f>(IF(C42=AM41,((2*B41)+(2*C41)),IF(C42=AM42,((2*B41)+(2*C41)),0)))*C43</f>
        <v>0</v>
      </c>
      <c r="AO43" s="111">
        <f>(IF(B42=AO41,((2*B41)+(2*C41)),0))*C43</f>
        <v>0</v>
      </c>
      <c r="AP43" s="260">
        <f>(IF(C42=AO41,((2*B41)+(2*C41)),0))*C43</f>
        <v>0</v>
      </c>
      <c r="AR43" s="268">
        <f>D41*C43</f>
        <v>0</v>
      </c>
      <c r="AT43" s="83" t="str">
        <f>'UC mounting materials '!$B$11</f>
        <v>Rail 41x41</v>
      </c>
      <c r="AU43" s="268">
        <f>IF(Z43&gt;999,(Z43+100),0)*C43</f>
        <v>0</v>
      </c>
      <c r="AW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AX43" s="275" t="str">
        <f>IF(C42=informatieblad!$A$6,informatieblad!$B$6,IF(C42=informatieblad!$A$7,informatieblad!$B$7,IF(C42=informatieblad!$A$8,informatieblad!$B$8,IF(C42=informatieblad!$A$2,informatieblad!$B$2,IF(C42=informatieblad!$A$3,informatieblad!$B$3,IF(C42=informatieblad!$A$4,informatieblad!$B$4,IF(C42=informatieblad!$A$5,informatieblad!$B$5,"")))))))</f>
        <v/>
      </c>
      <c r="AY43" s="276">
        <f>IF(AW43=AY41,(4*C43),0)</f>
        <v>0</v>
      </c>
      <c r="AZ43" s="276">
        <f>IF(AX43=AY41,(4*C43),0)</f>
        <v>0</v>
      </c>
      <c r="BA43" s="276">
        <f>IF(AW43=BA41,(4*C43),0)</f>
        <v>0</v>
      </c>
      <c r="BB43" s="274">
        <f>IF(AX43=BA41,(4*C43),0)</f>
        <v>0</v>
      </c>
    </row>
    <row r="44" spans="1:54" ht="5.0999999999999996" customHeight="1" thickBot="1">
      <c r="A44" s="122"/>
      <c r="B44" s="122"/>
      <c r="C44" s="122"/>
      <c r="D44" s="122"/>
      <c r="E44" s="122"/>
      <c r="F44" s="122"/>
      <c r="G44" s="122"/>
      <c r="H44" s="122"/>
      <c r="AT44" s="83"/>
    </row>
    <row r="45" spans="1:54" ht="15.75" thickBot="1">
      <c r="A45" s="445"/>
      <c r="B45" s="96"/>
      <c r="C45" s="96"/>
      <c r="D45" s="96"/>
      <c r="E45" s="448"/>
      <c r="F45" s="449"/>
      <c r="G45" s="449"/>
      <c r="H45" s="450"/>
      <c r="I45" s="345" t="s">
        <v>20</v>
      </c>
      <c r="M45" s="97" t="s">
        <v>14</v>
      </c>
      <c r="N45" s="98" t="s">
        <v>27</v>
      </c>
      <c r="O45" s="98" t="s">
        <v>28</v>
      </c>
      <c r="P45" s="98" t="s">
        <v>27</v>
      </c>
      <c r="Q45" s="98" t="s">
        <v>28</v>
      </c>
      <c r="R45" s="98" t="s">
        <v>29</v>
      </c>
      <c r="S45" s="66" t="s">
        <v>30</v>
      </c>
      <c r="T45" s="99" t="s">
        <v>31</v>
      </c>
      <c r="U45" s="99"/>
      <c r="V45" s="99"/>
      <c r="W45" s="98" t="s">
        <v>32</v>
      </c>
      <c r="X45" s="98" t="s">
        <v>32</v>
      </c>
      <c r="Y45" s="98"/>
      <c r="Z45" s="98" t="s">
        <v>33</v>
      </c>
      <c r="AA45" s="100" t="s">
        <v>34</v>
      </c>
      <c r="AB45" s="98" t="s">
        <v>32</v>
      </c>
      <c r="AC45" s="98" t="s">
        <v>32</v>
      </c>
      <c r="AD45" s="98" t="s">
        <v>32</v>
      </c>
      <c r="AE45" s="98" t="s">
        <v>32</v>
      </c>
      <c r="AF45" s="98" t="s">
        <v>35</v>
      </c>
      <c r="AG45" s="101" t="s">
        <v>36</v>
      </c>
      <c r="AI45" s="97" t="str">
        <f>informatieblad!$A$6</f>
        <v>FL20</v>
      </c>
      <c r="AJ45" s="99"/>
      <c r="AK45" s="97" t="str">
        <f>informatieblad!$A$7</f>
        <v>FL30</v>
      </c>
      <c r="AL45" s="66"/>
      <c r="AM45" s="99" t="str">
        <f>informatieblad!$A$8</f>
        <v>FL40</v>
      </c>
      <c r="AN45" s="66"/>
      <c r="AO45" s="97" t="str">
        <f>informatieblad!$A$5</f>
        <v>none</v>
      </c>
      <c r="AP45" s="264"/>
      <c r="AR45" s="266" t="s">
        <v>17</v>
      </c>
      <c r="AT45" s="83"/>
      <c r="AU45" s="266" t="s">
        <v>37</v>
      </c>
      <c r="AW45" s="269" t="s">
        <v>38</v>
      </c>
      <c r="AX45" s="272"/>
      <c r="AY45" s="272">
        <f>informatieblad!$B$3</f>
        <v>0</v>
      </c>
      <c r="AZ45" s="272">
        <f>informatieblad!$B$3</f>
        <v>0</v>
      </c>
      <c r="BA45" s="272">
        <f>informatieblad!$B$4</f>
        <v>0</v>
      </c>
      <c r="BB45" s="264">
        <f>informatieblad!$B$4</f>
        <v>0</v>
      </c>
    </row>
    <row r="46" spans="1:54">
      <c r="A46" s="446"/>
      <c r="B46" s="102" t="str">
        <f>IF($C47&gt;0,IF(MAX(B45:C45)&lt;informatieblad!$Q$4,informatieblad!$P$3,IF(MAX(B45:C45)&gt;informatieblad!$R$4,informatieblad!$P$5,informatieblad!$P$4)),"")</f>
        <v/>
      </c>
      <c r="C46" s="102" t="str">
        <f>IF($C47&gt;0,IF(MAX(B45:C45)&lt;informatieblad!$Q$4,informatieblad!$P$3,IF(MAX(B45:C45)&gt;informatieblad!$R$4,informatieblad!$P$5,informatieblad!$P$4)),"")</f>
        <v/>
      </c>
      <c r="D46" s="88"/>
      <c r="E46" s="89" t="str">
        <f>A45&amp;"-"&amp;informatieblad!$B$12&amp;"-"&amp;B45&amp;"-"&amp;C45&amp;"-"&amp;D45&amp;"-"&amp;B46&amp;"-"&amp;C46&amp;"-"&amp;F47</f>
        <v>-RctD------Options None</v>
      </c>
      <c r="F46" s="90"/>
      <c r="G46" s="90"/>
      <c r="H46" s="91"/>
      <c r="M46" s="103">
        <f>A45</f>
        <v>0</v>
      </c>
      <c r="N46" s="104" t="s">
        <v>39</v>
      </c>
      <c r="O46" s="104" t="s">
        <v>39</v>
      </c>
      <c r="P46" s="104" t="s">
        <v>40</v>
      </c>
      <c r="Q46" s="104" t="s">
        <v>40</v>
      </c>
      <c r="R46" s="104" t="s">
        <v>40</v>
      </c>
      <c r="S46" s="105"/>
      <c r="T46" s="106" t="s">
        <v>27</v>
      </c>
      <c r="U46" s="106" t="s">
        <v>40</v>
      </c>
      <c r="V46" s="106" t="s">
        <v>41</v>
      </c>
      <c r="W46" s="104" t="s">
        <v>42</v>
      </c>
      <c r="X46" s="104" t="s">
        <v>43</v>
      </c>
      <c r="Y46" s="104"/>
      <c r="Z46" s="104" t="s">
        <v>44</v>
      </c>
      <c r="AA46" s="107"/>
      <c r="AB46" s="104" t="s">
        <v>45</v>
      </c>
      <c r="AC46" s="104" t="s">
        <v>42</v>
      </c>
      <c r="AD46" s="104" t="s">
        <v>43</v>
      </c>
      <c r="AE46" s="104" t="s">
        <v>46</v>
      </c>
      <c r="AF46" s="108"/>
      <c r="AG46" s="109"/>
      <c r="AI46" s="262" t="str">
        <f>informatieblad!$A$2</f>
        <v>FL20 loose</v>
      </c>
      <c r="AJ46" s="263"/>
      <c r="AK46" s="262" t="str">
        <f>informatieblad!$A$3</f>
        <v>FL30 loose</v>
      </c>
      <c r="AL46" s="105"/>
      <c r="AM46" s="263" t="str">
        <f>informatieblad!$A$4</f>
        <v>FL40 loose</v>
      </c>
      <c r="AN46" s="105"/>
      <c r="AO46" s="265"/>
      <c r="AP46" s="105"/>
      <c r="AR46" s="267"/>
      <c r="AT46" s="83" t="str">
        <f>'UC mounting materials '!$B$10</f>
        <v>Rail 30x15</v>
      </c>
      <c r="AU46" s="327">
        <f>IF(Z47&lt;1000,(Z47+100),0)*C47</f>
        <v>0</v>
      </c>
      <c r="AW46" s="265" t="s">
        <v>47</v>
      </c>
      <c r="AX46" s="106" t="s">
        <v>48</v>
      </c>
      <c r="AY46" s="83" t="s">
        <v>23</v>
      </c>
      <c r="AZ46" s="83" t="s">
        <v>23</v>
      </c>
      <c r="BA46" s="83" t="s">
        <v>23</v>
      </c>
      <c r="BB46" s="273" t="s">
        <v>23</v>
      </c>
    </row>
    <row r="47" spans="1:54" ht="15.75" thickBot="1">
      <c r="A47" s="447"/>
      <c r="B47" s="92" t="s">
        <v>23</v>
      </c>
      <c r="C47" s="110"/>
      <c r="D47" s="94">
        <f>C47*O47</f>
        <v>0</v>
      </c>
      <c r="E47" s="95" t="s">
        <v>24</v>
      </c>
      <c r="F47" s="451" t="s">
        <v>25</v>
      </c>
      <c r="G47" s="452"/>
      <c r="H47" s="453"/>
      <c r="M47" s="111"/>
      <c r="N47" s="112">
        <f>(((2*(B45+C45))*D45)/1000000)</f>
        <v>0</v>
      </c>
      <c r="O47" s="112">
        <f>((IF(N47&lt;=informatieblad!$I$12,informatieblad!$I$12,IF(N47&gt;=informatieblad!$I$12,N47))))</f>
        <v>0.5</v>
      </c>
      <c r="P47" s="112">
        <f>(((2*B45)+(2*C45))*D45)/1000000</f>
        <v>0</v>
      </c>
      <c r="Q47" s="112">
        <f>((IF(P47&lt;=informatieblad!$H$12,informatieblad!$H$12,IF(P47&gt;=informatieblad!$H$12,P47))))</f>
        <v>0</v>
      </c>
      <c r="R47" s="113">
        <f>((Q47*X47)+(Q47*U47))*C47</f>
        <v>0</v>
      </c>
      <c r="S47" s="114">
        <f>((O47*W47)+(O47*V47))*C47</f>
        <v>0</v>
      </c>
      <c r="T47" s="115" t="str">
        <f>F47</f>
        <v>Options None</v>
      </c>
      <c r="U47" s="116">
        <f>VLOOKUP(F47,informatieblad!$A$37:$D$41,2,FALSE)</f>
        <v>0</v>
      </c>
      <c r="V47" s="116">
        <f>VLOOKUP(F47,informatieblad!$A$37:$D$41,4,FALSE)</f>
        <v>0</v>
      </c>
      <c r="W47" s="117">
        <f>((IF(D45&lt;=900,AC47,IF(D45&gt;=900,AE47))))</f>
        <v>45.1248</v>
      </c>
      <c r="X47" s="118">
        <f>((IF(D45&lt;=900,AB47,IF(D45&gt;=900,AD47))))</f>
        <v>0</v>
      </c>
      <c r="Y47" s="119"/>
      <c r="Z47" s="119">
        <f>(MAX(B45:C45))</f>
        <v>0</v>
      </c>
      <c r="AA47" s="119">
        <f>LOOKUP(Z47,informatieblad!$C$27:$C$32,informatieblad!$A$27:$A$32)</f>
        <v>0.5</v>
      </c>
      <c r="AB47" s="118">
        <f>VLOOKUP(AA47,informatieblad!$A$27:$M$32,6,FALSE)</f>
        <v>0</v>
      </c>
      <c r="AC47" s="118">
        <f>VLOOKUP(AA47,informatieblad!$A$27:$M$32,8,FALSE)</f>
        <v>45.1248</v>
      </c>
      <c r="AD47" s="118">
        <f>VLOOKUP(AA47,informatieblad!$A$27:$M$32,9,FALSE)</f>
        <v>0</v>
      </c>
      <c r="AE47" s="118">
        <f>VLOOKUP(AA47,informatieblad!$A$27:$M$32,11,FALSE)</f>
        <v>32.463200000000001</v>
      </c>
      <c r="AF47" s="120">
        <f>VLOOKUP(AA47,informatieblad!$A$27:$M$32,13,FALSE)</f>
        <v>4</v>
      </c>
      <c r="AG47" s="121">
        <f>ROUND((AF47*P47),1)</f>
        <v>0</v>
      </c>
      <c r="AI47" s="111">
        <f>(IF(B46=AI45,((2*B45)+(2*C45)),IF(B46=AI46,((2*B45)+(2*C45)),0)))*C47</f>
        <v>0</v>
      </c>
      <c r="AJ47" s="261">
        <f>(IF(C46=AI45,((2*B45)+(2*C45)),IF(C46=AI46,((2*B45)+(2*C45)),0)))*C47</f>
        <v>0</v>
      </c>
      <c r="AK47" s="111">
        <f>(IF(B46=AK45,((2*B45)+(2*C45)),IF(B46=AK46,((2*B45)+(2*C45)),0)))*C47</f>
        <v>0</v>
      </c>
      <c r="AL47" s="260">
        <f>(IF(C46=AK45,((2*B45)+(2*C45)),IF(C46=AK46,((2*B45)+(2*C45)),0)))*C47</f>
        <v>0</v>
      </c>
      <c r="AM47" s="261">
        <f>(IF(B46=AM45,((2*B45)+(2*C45)),IF(B46=AM46,((2*B45)+(2*C45)),0)))*C47</f>
        <v>0</v>
      </c>
      <c r="AN47" s="260">
        <f>(IF(C46=AM45,((2*B45)+(2*C45)),IF(C46=AM46,((2*B45)+(2*C45)),0)))*C47</f>
        <v>0</v>
      </c>
      <c r="AO47" s="111">
        <f>(IF(B46=AO45,((2*B45)+(2*C45)),0))*C47</f>
        <v>0</v>
      </c>
      <c r="AP47" s="260">
        <f>(IF(C46=AO45,((2*B45)+(2*C45)),0))*C47</f>
        <v>0</v>
      </c>
      <c r="AR47" s="268">
        <f>D45*C47</f>
        <v>0</v>
      </c>
      <c r="AT47" s="83" t="str">
        <f>'UC mounting materials '!$B$11</f>
        <v>Rail 41x41</v>
      </c>
      <c r="AU47" s="268">
        <f>IF(Z47&gt;999,(Z47+100),0)*C47</f>
        <v>0</v>
      </c>
      <c r="AW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AX47" s="275" t="str">
        <f>IF(C46=informatieblad!$A$6,informatieblad!$B$6,IF(C46=informatieblad!$A$7,informatieblad!$B$7,IF(C46=informatieblad!$A$8,informatieblad!$B$8,IF(C46=informatieblad!$A$2,informatieblad!$B$2,IF(C46=informatieblad!$A$3,informatieblad!$B$3,IF(C46=informatieblad!$A$4,informatieblad!$B$4,IF(C46=informatieblad!$A$5,informatieblad!$B$5,"")))))))</f>
        <v/>
      </c>
      <c r="AY47" s="276">
        <f>IF(AW47=AY45,(4*C47),0)</f>
        <v>0</v>
      </c>
      <c r="AZ47" s="276">
        <f>IF(AX47=AY45,(4*C47),0)</f>
        <v>0</v>
      </c>
      <c r="BA47" s="276">
        <f>IF(AW47=BA45,(4*C47),0)</f>
        <v>0</v>
      </c>
      <c r="BB47" s="274">
        <f>IF(AX47=BA45,(4*C47),0)</f>
        <v>0</v>
      </c>
    </row>
    <row r="48" spans="1:54" ht="5.0999999999999996" customHeight="1" thickBot="1">
      <c r="A48" s="122"/>
      <c r="B48" s="122"/>
      <c r="C48" s="122"/>
      <c r="D48" s="122"/>
      <c r="E48" s="122"/>
      <c r="F48" s="122"/>
      <c r="G48" s="122"/>
      <c r="H48" s="122"/>
      <c r="AT48" s="83"/>
    </row>
    <row r="49" spans="1:54" ht="15" thickBot="1">
      <c r="A49" s="445"/>
      <c r="B49" s="96"/>
      <c r="C49" s="96"/>
      <c r="D49" s="96"/>
      <c r="E49" s="85"/>
      <c r="F49" s="85"/>
      <c r="G49" s="85"/>
      <c r="H49" s="86"/>
      <c r="I49" s="345" t="s">
        <v>20</v>
      </c>
      <c r="M49" s="97" t="s">
        <v>14</v>
      </c>
      <c r="N49" s="98" t="s">
        <v>27</v>
      </c>
      <c r="O49" s="98" t="s">
        <v>28</v>
      </c>
      <c r="P49" s="98" t="s">
        <v>27</v>
      </c>
      <c r="Q49" s="98" t="s">
        <v>28</v>
      </c>
      <c r="R49" s="98" t="s">
        <v>29</v>
      </c>
      <c r="S49" s="66" t="s">
        <v>30</v>
      </c>
      <c r="T49" s="99" t="s">
        <v>31</v>
      </c>
      <c r="U49" s="99"/>
      <c r="V49" s="99"/>
      <c r="W49" s="98" t="s">
        <v>32</v>
      </c>
      <c r="X49" s="98" t="s">
        <v>32</v>
      </c>
      <c r="Y49" s="98"/>
      <c r="Z49" s="98" t="s">
        <v>33</v>
      </c>
      <c r="AA49" s="100" t="s">
        <v>34</v>
      </c>
      <c r="AB49" s="98" t="s">
        <v>32</v>
      </c>
      <c r="AC49" s="98" t="s">
        <v>32</v>
      </c>
      <c r="AD49" s="98" t="s">
        <v>32</v>
      </c>
      <c r="AE49" s="98" t="s">
        <v>32</v>
      </c>
      <c r="AF49" s="98" t="s">
        <v>35</v>
      </c>
      <c r="AG49" s="101" t="s">
        <v>36</v>
      </c>
      <c r="AI49" s="97" t="str">
        <f>informatieblad!$A$6</f>
        <v>FL20</v>
      </c>
      <c r="AJ49" s="99"/>
      <c r="AK49" s="97" t="str">
        <f>informatieblad!$A$7</f>
        <v>FL30</v>
      </c>
      <c r="AL49" s="66"/>
      <c r="AM49" s="99" t="str">
        <f>informatieblad!$A$8</f>
        <v>FL40</v>
      </c>
      <c r="AN49" s="66"/>
      <c r="AO49" s="97" t="str">
        <f>informatieblad!$A$5</f>
        <v>none</v>
      </c>
      <c r="AP49" s="264"/>
      <c r="AR49" s="266" t="s">
        <v>17</v>
      </c>
      <c r="AT49" s="83"/>
      <c r="AU49" s="266" t="s">
        <v>37</v>
      </c>
      <c r="AW49" s="269" t="s">
        <v>38</v>
      </c>
      <c r="AX49" s="272"/>
      <c r="AY49" s="272">
        <f>informatieblad!$B$3</f>
        <v>0</v>
      </c>
      <c r="AZ49" s="272">
        <f>informatieblad!$B$3</f>
        <v>0</v>
      </c>
      <c r="BA49" s="272">
        <f>informatieblad!$B$4</f>
        <v>0</v>
      </c>
      <c r="BB49" s="264">
        <f>informatieblad!$B$4</f>
        <v>0</v>
      </c>
    </row>
    <row r="50" spans="1:54">
      <c r="A50" s="446"/>
      <c r="B50" s="102" t="str">
        <f>IF($C51&gt;0,IF(MAX(B49:C49)&lt;informatieblad!$Q$4,informatieblad!$P$3,IF(MAX(B49:C49)&gt;informatieblad!$R$4,informatieblad!$P$5,informatieblad!$P$4)),"")</f>
        <v/>
      </c>
      <c r="C50" s="102" t="str">
        <f>IF($C51&gt;0,IF(MAX(B49:C49)&lt;informatieblad!$Q$4,informatieblad!$P$3,IF(MAX(B49:C49)&gt;informatieblad!$R$4,informatieblad!$P$5,informatieblad!$P$4)),"")</f>
        <v/>
      </c>
      <c r="D50" s="88"/>
      <c r="E50" s="89" t="str">
        <f>A49&amp;"-"&amp;informatieblad!$B$12&amp;"-"&amp;B49&amp;"-"&amp;C49&amp;"-"&amp;D49&amp;"-"&amp;B50&amp;"-"&amp;C50&amp;"-"&amp;F51</f>
        <v>-RctD------Options None</v>
      </c>
      <c r="F50" s="90"/>
      <c r="G50" s="90"/>
      <c r="H50" s="91"/>
      <c r="M50" s="103">
        <f>A49</f>
        <v>0</v>
      </c>
      <c r="N50" s="104" t="s">
        <v>39</v>
      </c>
      <c r="O50" s="104" t="s">
        <v>39</v>
      </c>
      <c r="P50" s="104" t="s">
        <v>40</v>
      </c>
      <c r="Q50" s="104" t="s">
        <v>40</v>
      </c>
      <c r="R50" s="104" t="s">
        <v>40</v>
      </c>
      <c r="S50" s="105"/>
      <c r="T50" s="106" t="s">
        <v>27</v>
      </c>
      <c r="U50" s="106" t="s">
        <v>40</v>
      </c>
      <c r="V50" s="106" t="s">
        <v>41</v>
      </c>
      <c r="W50" s="104" t="s">
        <v>42</v>
      </c>
      <c r="X50" s="104" t="s">
        <v>43</v>
      </c>
      <c r="Y50" s="104"/>
      <c r="Z50" s="104" t="s">
        <v>44</v>
      </c>
      <c r="AA50" s="107"/>
      <c r="AB50" s="104" t="s">
        <v>45</v>
      </c>
      <c r="AC50" s="104" t="s">
        <v>42</v>
      </c>
      <c r="AD50" s="104" t="s">
        <v>43</v>
      </c>
      <c r="AE50" s="104" t="s">
        <v>46</v>
      </c>
      <c r="AF50" s="108"/>
      <c r="AG50" s="109"/>
      <c r="AI50" s="262" t="str">
        <f>informatieblad!$A$2</f>
        <v>FL20 loose</v>
      </c>
      <c r="AJ50" s="263"/>
      <c r="AK50" s="262" t="str">
        <f>informatieblad!$A$3</f>
        <v>FL30 loose</v>
      </c>
      <c r="AL50" s="105"/>
      <c r="AM50" s="263" t="str">
        <f>informatieblad!$A$4</f>
        <v>FL40 loose</v>
      </c>
      <c r="AN50" s="105"/>
      <c r="AO50" s="265"/>
      <c r="AP50" s="105"/>
      <c r="AR50" s="267"/>
      <c r="AT50" s="83" t="str">
        <f>'UC mounting materials '!$B$10</f>
        <v>Rail 30x15</v>
      </c>
      <c r="AU50" s="327">
        <f>IF(Z51&lt;1000,(Z51+100),0)*C51</f>
        <v>0</v>
      </c>
      <c r="AW50" s="265" t="s">
        <v>47</v>
      </c>
      <c r="AX50" s="106" t="s">
        <v>48</v>
      </c>
      <c r="AY50" s="83" t="s">
        <v>23</v>
      </c>
      <c r="AZ50" s="83" t="s">
        <v>23</v>
      </c>
      <c r="BA50" s="83" t="s">
        <v>23</v>
      </c>
      <c r="BB50" s="273" t="s">
        <v>23</v>
      </c>
    </row>
    <row r="51" spans="1:54" ht="15.75" thickBot="1">
      <c r="A51" s="447"/>
      <c r="B51" s="92" t="s">
        <v>23</v>
      </c>
      <c r="C51" s="110"/>
      <c r="D51" s="94">
        <f>C51*O51</f>
        <v>0</v>
      </c>
      <c r="E51" s="95" t="s">
        <v>24</v>
      </c>
      <c r="F51" s="451" t="s">
        <v>25</v>
      </c>
      <c r="G51" s="452"/>
      <c r="H51" s="453"/>
      <c r="M51" s="111"/>
      <c r="N51" s="112">
        <f>(((2*(B49+C49))*D49)/1000000)</f>
        <v>0</v>
      </c>
      <c r="O51" s="112">
        <f>((IF(N51&lt;=informatieblad!$I$12,informatieblad!$I$12,IF(N51&gt;=informatieblad!$I$12,N51))))</f>
        <v>0.5</v>
      </c>
      <c r="P51" s="112">
        <f>(((2*B49)+(2*C49))*D49)/1000000</f>
        <v>0</v>
      </c>
      <c r="Q51" s="112">
        <f>((IF(P51&lt;=informatieblad!$H$12,informatieblad!$H$12,IF(P51&gt;=informatieblad!$H$12,P51))))</f>
        <v>0</v>
      </c>
      <c r="R51" s="113">
        <f>((Q51*X51)+(Q51*U51))*C51</f>
        <v>0</v>
      </c>
      <c r="S51" s="114">
        <f>((O51*W51)+(O51*V51))*C51</f>
        <v>0</v>
      </c>
      <c r="T51" s="115" t="str">
        <f>F51</f>
        <v>Options None</v>
      </c>
      <c r="U51" s="116">
        <f>VLOOKUP(F51,informatieblad!$A$37:$D$41,2,FALSE)</f>
        <v>0</v>
      </c>
      <c r="V51" s="116">
        <f>VLOOKUP(F51,informatieblad!$A$37:$D$41,4,FALSE)</f>
        <v>0</v>
      </c>
      <c r="W51" s="117">
        <f>((IF(D49&lt;=900,AC51,IF(D49&gt;=900,AE51))))</f>
        <v>45.1248</v>
      </c>
      <c r="X51" s="118">
        <f>((IF(D49&lt;=900,AB51,IF(D49&gt;=900,AD51))))</f>
        <v>0</v>
      </c>
      <c r="Y51" s="119"/>
      <c r="Z51" s="119">
        <f>(MAX(B49:C49))</f>
        <v>0</v>
      </c>
      <c r="AA51" s="119">
        <f>LOOKUP(Z51,informatieblad!$C$27:$C$32,informatieblad!$A$27:$A$32)</f>
        <v>0.5</v>
      </c>
      <c r="AB51" s="118">
        <f>VLOOKUP(AA51,informatieblad!$A$27:$M$32,6,FALSE)</f>
        <v>0</v>
      </c>
      <c r="AC51" s="118">
        <f>VLOOKUP(AA51,informatieblad!$A$27:$M$32,8,FALSE)</f>
        <v>45.1248</v>
      </c>
      <c r="AD51" s="118">
        <f>VLOOKUP(AA51,informatieblad!$A$27:$M$32,9,FALSE)</f>
        <v>0</v>
      </c>
      <c r="AE51" s="118">
        <f>VLOOKUP(AA51,informatieblad!$A$27:$M$32,11,FALSE)</f>
        <v>32.463200000000001</v>
      </c>
      <c r="AF51" s="120">
        <f>VLOOKUP(AA51,informatieblad!$A$27:$M$32,13,FALSE)</f>
        <v>4</v>
      </c>
      <c r="AG51" s="121">
        <f>ROUND((AF51*P51),1)</f>
        <v>0</v>
      </c>
      <c r="AI51" s="111">
        <f>(IF(B50=AI49,((2*B49)+(2*C49)),IF(B50=AI50,((2*B49)+(2*C49)),0)))*C51</f>
        <v>0</v>
      </c>
      <c r="AJ51" s="261">
        <f>(IF(C50=AI49,((2*B49)+(2*C49)),IF(C50=AI50,((2*B49)+(2*C49)),0)))*C51</f>
        <v>0</v>
      </c>
      <c r="AK51" s="111">
        <f>(IF(B50=AK49,((2*B49)+(2*C49)),IF(B50=AK50,((2*B49)+(2*C49)),0)))*C51</f>
        <v>0</v>
      </c>
      <c r="AL51" s="260">
        <f>(IF(C50=AK49,((2*B49)+(2*C49)),IF(C50=AK50,((2*B49)+(2*C49)),0)))*C51</f>
        <v>0</v>
      </c>
      <c r="AM51" s="261">
        <f>(IF(B50=AM49,((2*B49)+(2*C49)),IF(B50=AM50,((2*B49)+(2*C49)),0)))*C51</f>
        <v>0</v>
      </c>
      <c r="AN51" s="260">
        <f>(IF(C50=AM49,((2*B49)+(2*C49)),IF(C50=AM50,((2*B49)+(2*C49)),0)))*C51</f>
        <v>0</v>
      </c>
      <c r="AO51" s="111">
        <f>(IF(B50=AO49,((2*B49)+(2*C49)),0))*C51</f>
        <v>0</v>
      </c>
      <c r="AP51" s="260">
        <f>(IF(C50=AO49,((2*B49)+(2*C49)),0))*C51</f>
        <v>0</v>
      </c>
      <c r="AR51" s="268">
        <f>D49*C51</f>
        <v>0</v>
      </c>
      <c r="AT51" s="83" t="str">
        <f>'UC mounting materials '!$B$11</f>
        <v>Rail 41x41</v>
      </c>
      <c r="AU51" s="268">
        <f>IF(Z51&gt;999,(Z51+100),0)*C51</f>
        <v>0</v>
      </c>
      <c r="AW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AX51" s="275" t="str">
        <f>IF(C50=informatieblad!$A$6,informatieblad!$B$6,IF(C50=informatieblad!$A$7,informatieblad!$B$7,IF(C50=informatieblad!$A$8,informatieblad!$B$8,IF(C50=informatieblad!$A$2,informatieblad!$B$2,IF(C50=informatieblad!$A$3,informatieblad!$B$3,IF(C50=informatieblad!$A$4,informatieblad!$B$4,IF(C50=informatieblad!$A$5,informatieblad!$B$5,"")))))))</f>
        <v/>
      </c>
      <c r="AY51" s="276">
        <f>IF(AW51=AY49,(4*C51),0)</f>
        <v>0</v>
      </c>
      <c r="AZ51" s="276">
        <f>IF(AX51=AY49,(4*C51),0)</f>
        <v>0</v>
      </c>
      <c r="BA51" s="276">
        <f>IF(AW51=BA49,(4*C51),0)</f>
        <v>0</v>
      </c>
      <c r="BB51" s="274">
        <f>IF(AX51=BA49,(4*C51),0)</f>
        <v>0</v>
      </c>
    </row>
    <row r="52" spans="1:54" ht="5.0999999999999996" customHeight="1" thickBot="1">
      <c r="A52" s="122"/>
      <c r="B52" s="122"/>
      <c r="C52" s="122"/>
      <c r="D52" s="122"/>
      <c r="E52" s="122"/>
      <c r="F52" s="122"/>
      <c r="G52" s="122"/>
      <c r="H52" s="122"/>
      <c r="AT52" s="83"/>
    </row>
    <row r="53" spans="1:54" ht="15.75" thickBot="1">
      <c r="A53" s="445"/>
      <c r="B53" s="96"/>
      <c r="C53" s="96"/>
      <c r="D53" s="96"/>
      <c r="E53" s="448"/>
      <c r="F53" s="449"/>
      <c r="G53" s="449"/>
      <c r="H53" s="450"/>
      <c r="I53" s="345" t="s">
        <v>20</v>
      </c>
      <c r="M53" s="97" t="s">
        <v>14</v>
      </c>
      <c r="N53" s="98" t="s">
        <v>27</v>
      </c>
      <c r="O53" s="98" t="s">
        <v>28</v>
      </c>
      <c r="P53" s="98" t="s">
        <v>27</v>
      </c>
      <c r="Q53" s="98" t="s">
        <v>28</v>
      </c>
      <c r="R53" s="98" t="s">
        <v>29</v>
      </c>
      <c r="S53" s="66" t="s">
        <v>30</v>
      </c>
      <c r="T53" s="99" t="s">
        <v>31</v>
      </c>
      <c r="U53" s="99"/>
      <c r="V53" s="99"/>
      <c r="W53" s="98" t="s">
        <v>32</v>
      </c>
      <c r="X53" s="98" t="s">
        <v>32</v>
      </c>
      <c r="Y53" s="98"/>
      <c r="Z53" s="98" t="s">
        <v>33</v>
      </c>
      <c r="AA53" s="100" t="s">
        <v>34</v>
      </c>
      <c r="AB53" s="98" t="s">
        <v>32</v>
      </c>
      <c r="AC53" s="98" t="s">
        <v>32</v>
      </c>
      <c r="AD53" s="98" t="s">
        <v>32</v>
      </c>
      <c r="AE53" s="98" t="s">
        <v>32</v>
      </c>
      <c r="AF53" s="98" t="s">
        <v>35</v>
      </c>
      <c r="AG53" s="101" t="s">
        <v>36</v>
      </c>
      <c r="AI53" s="97" t="str">
        <f>informatieblad!$A$6</f>
        <v>FL20</v>
      </c>
      <c r="AJ53" s="99"/>
      <c r="AK53" s="97" t="str">
        <f>informatieblad!$A$7</f>
        <v>FL30</v>
      </c>
      <c r="AL53" s="66"/>
      <c r="AM53" s="99" t="str">
        <f>informatieblad!$A$8</f>
        <v>FL40</v>
      </c>
      <c r="AN53" s="66"/>
      <c r="AO53" s="97" t="str">
        <f>informatieblad!$A$5</f>
        <v>none</v>
      </c>
      <c r="AP53" s="264"/>
      <c r="AQ53" s="62"/>
      <c r="AR53" s="266" t="s">
        <v>17</v>
      </c>
      <c r="AT53" s="83"/>
      <c r="AU53" s="266" t="s">
        <v>37</v>
      </c>
      <c r="AW53" s="269" t="s">
        <v>38</v>
      </c>
      <c r="AX53" s="272"/>
      <c r="AY53" s="272">
        <f>informatieblad!$B$3</f>
        <v>0</v>
      </c>
      <c r="AZ53" s="272">
        <f>informatieblad!$B$3</f>
        <v>0</v>
      </c>
      <c r="BA53" s="272">
        <f>informatieblad!$B$4</f>
        <v>0</v>
      </c>
      <c r="BB53" s="264">
        <f>informatieblad!$B$4</f>
        <v>0</v>
      </c>
    </row>
    <row r="54" spans="1:54">
      <c r="A54" s="446"/>
      <c r="B54" s="102" t="str">
        <f>IF($C55&gt;0,IF(MAX(B53:C53)&lt;informatieblad!$Q$4,informatieblad!$P$3,IF(MAX(B53:C53)&gt;informatieblad!$R$4,informatieblad!$P$5,informatieblad!$P$4)),"")</f>
        <v/>
      </c>
      <c r="C54" s="102" t="str">
        <f>IF($C55&gt;0,IF(MAX(B53:C53)&lt;informatieblad!$Q$4,informatieblad!$P$3,IF(MAX(B53:C53)&gt;informatieblad!$R$4,informatieblad!$P$5,informatieblad!$P$4)),"")</f>
        <v/>
      </c>
      <c r="D54" s="88"/>
      <c r="E54" s="89" t="str">
        <f>A53&amp;"-"&amp;informatieblad!$B$12&amp;"-"&amp;B53&amp;"-"&amp;C53&amp;"-"&amp;D53&amp;"-"&amp;B54&amp;"-"&amp;C54&amp;"-"&amp;F55</f>
        <v>-RctD------Options None</v>
      </c>
      <c r="F54" s="90"/>
      <c r="G54" s="90"/>
      <c r="H54" s="91"/>
      <c r="M54" s="103">
        <f>A53</f>
        <v>0</v>
      </c>
      <c r="N54" s="104" t="s">
        <v>39</v>
      </c>
      <c r="O54" s="104" t="s">
        <v>39</v>
      </c>
      <c r="P54" s="104" t="s">
        <v>40</v>
      </c>
      <c r="Q54" s="104" t="s">
        <v>40</v>
      </c>
      <c r="R54" s="104" t="s">
        <v>40</v>
      </c>
      <c r="S54" s="105"/>
      <c r="T54" s="106" t="s">
        <v>27</v>
      </c>
      <c r="U54" s="106" t="s">
        <v>40</v>
      </c>
      <c r="V54" s="106" t="s">
        <v>41</v>
      </c>
      <c r="W54" s="104" t="s">
        <v>42</v>
      </c>
      <c r="X54" s="104" t="s">
        <v>43</v>
      </c>
      <c r="Y54" s="104"/>
      <c r="Z54" s="104" t="s">
        <v>44</v>
      </c>
      <c r="AA54" s="107"/>
      <c r="AB54" s="104" t="s">
        <v>45</v>
      </c>
      <c r="AC54" s="104" t="s">
        <v>42</v>
      </c>
      <c r="AD54" s="104" t="s">
        <v>43</v>
      </c>
      <c r="AE54" s="104" t="s">
        <v>46</v>
      </c>
      <c r="AF54" s="108"/>
      <c r="AG54" s="109"/>
      <c r="AI54" s="262" t="str">
        <f>informatieblad!$A$2</f>
        <v>FL20 loose</v>
      </c>
      <c r="AJ54" s="263"/>
      <c r="AK54" s="262" t="str">
        <f>informatieblad!$A$3</f>
        <v>FL30 loose</v>
      </c>
      <c r="AL54" s="105"/>
      <c r="AM54" s="263" t="str">
        <f>informatieblad!$A$4</f>
        <v>FL40 loose</v>
      </c>
      <c r="AN54" s="105"/>
      <c r="AO54" s="265"/>
      <c r="AP54" s="105"/>
      <c r="AR54" s="267"/>
      <c r="AT54" s="83" t="str">
        <f>'UC mounting materials '!$B$10</f>
        <v>Rail 30x15</v>
      </c>
      <c r="AU54" s="327">
        <f>IF(Z55&lt;1000,(Z55+100),0)*C55</f>
        <v>0</v>
      </c>
      <c r="AW54" s="265" t="s">
        <v>47</v>
      </c>
      <c r="AX54" s="106" t="s">
        <v>48</v>
      </c>
      <c r="AY54" s="83" t="s">
        <v>23</v>
      </c>
      <c r="AZ54" s="83" t="s">
        <v>23</v>
      </c>
      <c r="BA54" s="83" t="s">
        <v>23</v>
      </c>
      <c r="BB54" s="273" t="s">
        <v>23</v>
      </c>
    </row>
    <row r="55" spans="1:54" ht="15.75" thickBot="1">
      <c r="A55" s="447"/>
      <c r="B55" s="92" t="s">
        <v>23</v>
      </c>
      <c r="C55" s="110"/>
      <c r="D55" s="94">
        <f>C55*O55</f>
        <v>0</v>
      </c>
      <c r="E55" s="95" t="s">
        <v>24</v>
      </c>
      <c r="F55" s="451" t="s">
        <v>25</v>
      </c>
      <c r="G55" s="452"/>
      <c r="H55" s="453"/>
      <c r="M55" s="111"/>
      <c r="N55" s="112">
        <f>(((2*(B53+C53))*D53)/1000000)</f>
        <v>0</v>
      </c>
      <c r="O55" s="112">
        <f>((IF(N55&lt;=informatieblad!$I$12,informatieblad!$I$12,IF(N55&gt;=informatieblad!$I$12,N55))))</f>
        <v>0.5</v>
      </c>
      <c r="P55" s="112">
        <f>(((2*B53)+(2*C53))*D53)/1000000</f>
        <v>0</v>
      </c>
      <c r="Q55" s="112">
        <f>((IF(P55&lt;=informatieblad!$H$12,informatieblad!$H$12,IF(P55&gt;=informatieblad!$H$12,P55))))</f>
        <v>0</v>
      </c>
      <c r="R55" s="113">
        <f>((Q55*X55)+(Q55*U55))*C55</f>
        <v>0</v>
      </c>
      <c r="S55" s="114">
        <f>((O55*W55)+(O55*V55))*C55</f>
        <v>0</v>
      </c>
      <c r="T55" s="115" t="str">
        <f>F55</f>
        <v>Options None</v>
      </c>
      <c r="U55" s="116">
        <f>VLOOKUP(F55,informatieblad!$A$37:$D$41,2,FALSE)</f>
        <v>0</v>
      </c>
      <c r="V55" s="116">
        <f>VLOOKUP(F55,informatieblad!$A$37:$D$41,4,FALSE)</f>
        <v>0</v>
      </c>
      <c r="W55" s="117">
        <f>((IF(D53&lt;=900,AC55,IF(D53&gt;=900,AE55))))</f>
        <v>45.1248</v>
      </c>
      <c r="X55" s="118">
        <f>((IF(D53&lt;=900,AB55,IF(D53&gt;=900,AD55))))</f>
        <v>0</v>
      </c>
      <c r="Y55" s="119"/>
      <c r="Z55" s="119">
        <f>(MAX(B53:C53))</f>
        <v>0</v>
      </c>
      <c r="AA55" s="119">
        <f>LOOKUP(Z55,informatieblad!$C$27:$C$32,informatieblad!$A$27:$A$32)</f>
        <v>0.5</v>
      </c>
      <c r="AB55" s="118">
        <f>VLOOKUP(AA55,informatieblad!$A$27:$M$32,6,FALSE)</f>
        <v>0</v>
      </c>
      <c r="AC55" s="118">
        <f>VLOOKUP(AA55,informatieblad!$A$27:$M$32,8,FALSE)</f>
        <v>45.1248</v>
      </c>
      <c r="AD55" s="118">
        <f>VLOOKUP(AA55,informatieblad!$A$27:$M$32,9,FALSE)</f>
        <v>0</v>
      </c>
      <c r="AE55" s="118">
        <f>VLOOKUP(AA55,informatieblad!$A$27:$M$32,11,FALSE)</f>
        <v>32.463200000000001</v>
      </c>
      <c r="AF55" s="120">
        <f>VLOOKUP(AA55,informatieblad!$A$27:$M$32,13,FALSE)</f>
        <v>4</v>
      </c>
      <c r="AG55" s="121">
        <f>ROUND((AF55*P55),1)</f>
        <v>0</v>
      </c>
      <c r="AI55" s="111">
        <f>(IF(B54=AI53,((2*B53)+(2*C53)),IF(B54=AI54,((2*B53)+(2*C53)),0)))*C55</f>
        <v>0</v>
      </c>
      <c r="AJ55" s="261">
        <f>(IF(C54=AI53,((2*B53)+(2*C53)),IF(C54=AI54,((2*B53)+(2*C53)),0)))*C55</f>
        <v>0</v>
      </c>
      <c r="AK55" s="111">
        <f>(IF(B54=AK53,((2*B53)+(2*C53)),IF(B54=AK54,((2*B53)+(2*C53)),0)))*C55</f>
        <v>0</v>
      </c>
      <c r="AL55" s="260">
        <f>(IF(C54=AK53,((2*B53)+(2*C53)),IF(C54=AK54,((2*B53)+(2*C53)),0)))*C55</f>
        <v>0</v>
      </c>
      <c r="AM55" s="261">
        <f>(IF(B54=AM53,((2*B53)+(2*C53)),IF(B54=AM54,((2*B53)+(2*C53)),0)))*C55</f>
        <v>0</v>
      </c>
      <c r="AN55" s="260">
        <f>(IF(C54=AM53,((2*B53)+(2*C53)),IF(C54=AM54,((2*B53)+(2*C53)),0)))*C55</f>
        <v>0</v>
      </c>
      <c r="AO55" s="111">
        <f>(IF(B54=AO53,((2*B53)+(2*C53)),0))*C55</f>
        <v>0</v>
      </c>
      <c r="AP55" s="260">
        <f>(IF(C54=AO53,((2*B53)+(2*C53)),0))*C55</f>
        <v>0</v>
      </c>
      <c r="AQ55" s="72"/>
      <c r="AR55" s="268">
        <f>D53*C55</f>
        <v>0</v>
      </c>
      <c r="AT55" s="83" t="str">
        <f>'UC mounting materials '!$B$11</f>
        <v>Rail 41x41</v>
      </c>
      <c r="AU55" s="268">
        <f>IF(Z55&gt;999,(Z55+100),0)*C55</f>
        <v>0</v>
      </c>
      <c r="AW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AX55" s="275" t="str">
        <f>IF(C54=informatieblad!$A$6,informatieblad!$B$6,IF(C54=informatieblad!$A$7,informatieblad!$B$7,IF(C54=informatieblad!$A$8,informatieblad!$B$8,IF(C54=informatieblad!$A$2,informatieblad!$B$2,IF(C54=informatieblad!$A$3,informatieblad!$B$3,IF(C54=informatieblad!$A$4,informatieblad!$B$4,IF(C54=informatieblad!$A$5,informatieblad!$B$5,"")))))))</f>
        <v/>
      </c>
      <c r="AY55" s="276">
        <f>IF(AW55=AY53,(4*C55),0)</f>
        <v>0</v>
      </c>
      <c r="AZ55" s="276">
        <f>IF(AX55=AY53,(4*C55),0)</f>
        <v>0</v>
      </c>
      <c r="BA55" s="276">
        <f>IF(AW55=BA53,(4*C55),0)</f>
        <v>0</v>
      </c>
      <c r="BB55" s="274">
        <f>IF(AX55=BA53,(4*C55),0)</f>
        <v>0</v>
      </c>
    </row>
    <row r="56" spans="1:54" ht="5.0999999999999996" customHeight="1" thickBot="1">
      <c r="A56" s="335"/>
      <c r="B56" s="88"/>
      <c r="C56" s="336"/>
      <c r="D56" s="337"/>
      <c r="E56" s="174"/>
      <c r="F56" s="336"/>
      <c r="G56" s="338"/>
      <c r="H56" s="338"/>
      <c r="M56" s="83"/>
      <c r="N56" s="142"/>
      <c r="O56" s="142"/>
      <c r="P56" s="142"/>
      <c r="Q56" s="142"/>
      <c r="R56" s="143"/>
      <c r="S56" s="143"/>
      <c r="T56" s="339"/>
      <c r="U56" s="340"/>
      <c r="V56" s="340"/>
      <c r="W56" s="341"/>
      <c r="X56" s="144"/>
      <c r="Y56" s="83"/>
      <c r="Z56" s="83"/>
      <c r="AA56" s="83"/>
      <c r="AB56" s="144"/>
      <c r="AC56" s="144"/>
      <c r="AD56" s="144"/>
      <c r="AE56" s="144"/>
      <c r="AF56" s="142"/>
      <c r="AG56" s="142"/>
      <c r="AT56" s="83"/>
      <c r="AY56" s="261"/>
      <c r="AZ56" s="261"/>
      <c r="BA56" s="261"/>
      <c r="BB56" s="260"/>
    </row>
    <row r="57" spans="1:54" ht="15" customHeight="1" thickBot="1">
      <c r="A57" s="445"/>
      <c r="B57" s="96"/>
      <c r="C57" s="96"/>
      <c r="D57" s="96"/>
      <c r="E57" s="448"/>
      <c r="F57" s="449"/>
      <c r="G57" s="449"/>
      <c r="H57" s="450"/>
      <c r="I57" s="345" t="s">
        <v>20</v>
      </c>
      <c r="M57" s="97" t="s">
        <v>14</v>
      </c>
      <c r="N57" s="98" t="s">
        <v>27</v>
      </c>
      <c r="O57" s="98" t="s">
        <v>28</v>
      </c>
      <c r="P57" s="98" t="s">
        <v>27</v>
      </c>
      <c r="Q57" s="98" t="s">
        <v>28</v>
      </c>
      <c r="R57" s="98" t="s">
        <v>29</v>
      </c>
      <c r="S57" s="66" t="s">
        <v>30</v>
      </c>
      <c r="T57" s="99" t="s">
        <v>31</v>
      </c>
      <c r="U57" s="99"/>
      <c r="V57" s="99"/>
      <c r="W57" s="98" t="s">
        <v>32</v>
      </c>
      <c r="X57" s="98" t="s">
        <v>32</v>
      </c>
      <c r="Y57" s="98"/>
      <c r="Z57" s="98" t="s">
        <v>33</v>
      </c>
      <c r="AA57" s="100" t="s">
        <v>34</v>
      </c>
      <c r="AB57" s="98" t="s">
        <v>32</v>
      </c>
      <c r="AC57" s="98" t="s">
        <v>32</v>
      </c>
      <c r="AD57" s="98" t="s">
        <v>32</v>
      </c>
      <c r="AE57" s="98" t="s">
        <v>32</v>
      </c>
      <c r="AF57" s="98" t="s">
        <v>35</v>
      </c>
      <c r="AG57" s="101" t="s">
        <v>36</v>
      </c>
      <c r="AI57" s="97" t="str">
        <f>informatieblad!$A$6</f>
        <v>FL20</v>
      </c>
      <c r="AJ57" s="99"/>
      <c r="AK57" s="97" t="str">
        <f>informatieblad!$A$7</f>
        <v>FL30</v>
      </c>
      <c r="AL57" s="66"/>
      <c r="AM57" s="99" t="str">
        <f>informatieblad!$A$8</f>
        <v>FL40</v>
      </c>
      <c r="AN57" s="66"/>
      <c r="AO57" s="97" t="str">
        <f>informatieblad!$A$5</f>
        <v>none</v>
      </c>
      <c r="AP57" s="264"/>
      <c r="AR57" s="266" t="s">
        <v>17</v>
      </c>
      <c r="AT57" s="83"/>
      <c r="AU57" s="266" t="s">
        <v>37</v>
      </c>
      <c r="AW57" s="269" t="s">
        <v>38</v>
      </c>
      <c r="AX57" s="272"/>
      <c r="AY57" s="272">
        <f>informatieblad!$B$3</f>
        <v>0</v>
      </c>
      <c r="AZ57" s="272">
        <f>informatieblad!$B$3</f>
        <v>0</v>
      </c>
      <c r="BA57" s="272">
        <f>informatieblad!$B$4</f>
        <v>0</v>
      </c>
      <c r="BB57" s="264">
        <f>informatieblad!$B$4</f>
        <v>0</v>
      </c>
    </row>
    <row r="58" spans="1:54" ht="14.25" customHeight="1">
      <c r="A58" s="446"/>
      <c r="B58" s="102" t="str">
        <f>IF($C59&gt;0,IF(MAX(B57:C57)&lt;informatieblad!$Q$4,informatieblad!$P$3,IF(MAX(B57:C57)&gt;informatieblad!$R$4,informatieblad!$P$5,informatieblad!$P$4)),"")</f>
        <v/>
      </c>
      <c r="C58" s="102" t="str">
        <f>IF($C59&gt;0,IF(MAX(B57:C57)&lt;informatieblad!$Q$4,informatieblad!$P$3,IF(MAX(B57:C57)&gt;informatieblad!$R$4,informatieblad!$P$5,informatieblad!$P$4)),"")</f>
        <v/>
      </c>
      <c r="D58" s="88"/>
      <c r="E58" s="89" t="str">
        <f>A57&amp;"-"&amp;informatieblad!$B$12&amp;"-"&amp;B57&amp;"-"&amp;C57&amp;"-"&amp;D57&amp;"-"&amp;B58&amp;"-"&amp;C58&amp;"-"&amp;F59</f>
        <v>-RctD------Options None</v>
      </c>
      <c r="F58" s="90"/>
      <c r="G58" s="90"/>
      <c r="H58" s="91"/>
      <c r="M58" s="103">
        <f>A57</f>
        <v>0</v>
      </c>
      <c r="N58" s="104" t="s">
        <v>39</v>
      </c>
      <c r="O58" s="104" t="s">
        <v>39</v>
      </c>
      <c r="P58" s="104" t="s">
        <v>40</v>
      </c>
      <c r="Q58" s="104" t="s">
        <v>40</v>
      </c>
      <c r="R58" s="104" t="s">
        <v>40</v>
      </c>
      <c r="S58" s="105"/>
      <c r="T58" s="106" t="s">
        <v>27</v>
      </c>
      <c r="U58" s="106" t="s">
        <v>40</v>
      </c>
      <c r="V58" s="106" t="s">
        <v>41</v>
      </c>
      <c r="W58" s="104" t="s">
        <v>42</v>
      </c>
      <c r="X58" s="104" t="s">
        <v>43</v>
      </c>
      <c r="Y58" s="104"/>
      <c r="Z58" s="104" t="s">
        <v>44</v>
      </c>
      <c r="AA58" s="107"/>
      <c r="AB58" s="104" t="s">
        <v>45</v>
      </c>
      <c r="AC58" s="104" t="s">
        <v>42</v>
      </c>
      <c r="AD58" s="104" t="s">
        <v>43</v>
      </c>
      <c r="AE58" s="104" t="s">
        <v>46</v>
      </c>
      <c r="AF58" s="108"/>
      <c r="AG58" s="109"/>
      <c r="AI58" s="262" t="str">
        <f>informatieblad!$A$2</f>
        <v>FL20 loose</v>
      </c>
      <c r="AJ58" s="263"/>
      <c r="AK58" s="262" t="str">
        <f>informatieblad!$A$3</f>
        <v>FL30 loose</v>
      </c>
      <c r="AL58" s="105"/>
      <c r="AM58" s="263" t="str">
        <f>informatieblad!$A$4</f>
        <v>FL40 loose</v>
      </c>
      <c r="AN58" s="105"/>
      <c r="AO58" s="265"/>
      <c r="AP58" s="105"/>
      <c r="AR58" s="267"/>
      <c r="AT58" s="83" t="str">
        <f>'UC mounting materials '!$B$10</f>
        <v>Rail 30x15</v>
      </c>
      <c r="AU58" s="327">
        <f>IF(Z59&lt;1000,(Z59+100),0)*C59</f>
        <v>0</v>
      </c>
      <c r="AW58" s="265" t="s">
        <v>47</v>
      </c>
      <c r="AX58" s="106" t="s">
        <v>48</v>
      </c>
      <c r="AY58" s="83" t="s">
        <v>23</v>
      </c>
      <c r="AZ58" s="83" t="s">
        <v>23</v>
      </c>
      <c r="BA58" s="83" t="s">
        <v>23</v>
      </c>
      <c r="BB58" s="273" t="s">
        <v>23</v>
      </c>
    </row>
    <row r="59" spans="1:54" ht="15.75" customHeight="1" thickBot="1">
      <c r="A59" s="447"/>
      <c r="B59" s="92" t="s">
        <v>23</v>
      </c>
      <c r="C59" s="110"/>
      <c r="D59" s="94">
        <f>C59*O59</f>
        <v>0</v>
      </c>
      <c r="E59" s="95" t="s">
        <v>24</v>
      </c>
      <c r="F59" s="451" t="s">
        <v>25</v>
      </c>
      <c r="G59" s="452"/>
      <c r="H59" s="453"/>
      <c r="M59" s="111"/>
      <c r="N59" s="112">
        <f>(((2*(B57+C57))*D57)/1000000)</f>
        <v>0</v>
      </c>
      <c r="O59" s="112">
        <f>((IF(N59&lt;=informatieblad!$I$12,informatieblad!$I$12,IF(N59&gt;=informatieblad!$I$12,N59))))</f>
        <v>0.5</v>
      </c>
      <c r="P59" s="112">
        <f>(((2*B57)+(2*C57))*D57)/1000000</f>
        <v>0</v>
      </c>
      <c r="Q59" s="112">
        <f>((IF(P59&lt;=informatieblad!$H$12,informatieblad!$H$12,IF(P59&gt;=informatieblad!$H$12,P59))))</f>
        <v>0</v>
      </c>
      <c r="R59" s="113">
        <f>((Q59*X59)+(Q59*U59))*C59</f>
        <v>0</v>
      </c>
      <c r="S59" s="114">
        <f>((O59*W59)+(O59*V59))*C59</f>
        <v>0</v>
      </c>
      <c r="T59" s="115" t="str">
        <f>F59</f>
        <v>Options None</v>
      </c>
      <c r="U59" s="116">
        <f>VLOOKUP(F59,informatieblad!$A$37:$D$41,2,FALSE)</f>
        <v>0</v>
      </c>
      <c r="V59" s="116">
        <f>VLOOKUP(F59,informatieblad!$A$37:$D$41,4,FALSE)</f>
        <v>0</v>
      </c>
      <c r="W59" s="117">
        <f>((IF(D57&lt;=900,AC59,IF(D57&gt;=900,AE59))))</f>
        <v>45.1248</v>
      </c>
      <c r="X59" s="118">
        <f>((IF(D57&lt;=900,AB59,IF(D57&gt;=900,AD59))))</f>
        <v>0</v>
      </c>
      <c r="Y59" s="119"/>
      <c r="Z59" s="119">
        <f>(MAX(B57:C57))</f>
        <v>0</v>
      </c>
      <c r="AA59" s="119">
        <f>LOOKUP(Z59,informatieblad!$C$27:$C$32,informatieblad!$A$27:$A$32)</f>
        <v>0.5</v>
      </c>
      <c r="AB59" s="118">
        <f>VLOOKUP(AA59,informatieblad!$A$27:$M$32,6,FALSE)</f>
        <v>0</v>
      </c>
      <c r="AC59" s="118">
        <f>VLOOKUP(AA59,informatieblad!$A$27:$M$32,8,FALSE)</f>
        <v>45.1248</v>
      </c>
      <c r="AD59" s="118">
        <f>VLOOKUP(AA59,informatieblad!$A$27:$M$32,9,FALSE)</f>
        <v>0</v>
      </c>
      <c r="AE59" s="118">
        <f>VLOOKUP(AA59,informatieblad!$A$27:$M$32,11,FALSE)</f>
        <v>32.463200000000001</v>
      </c>
      <c r="AF59" s="120">
        <f>VLOOKUP(AA59,informatieblad!$A$27:$M$32,13,FALSE)</f>
        <v>4</v>
      </c>
      <c r="AG59" s="121">
        <f>ROUND((AF59*P59),1)</f>
        <v>0</v>
      </c>
      <c r="AI59" s="111">
        <f>(IF(B58=AI57,((2*B57)+(2*C57)),IF(B58=AI58,((2*B57)+(2*C57)),0)))*C59</f>
        <v>0</v>
      </c>
      <c r="AJ59" s="261">
        <f>(IF(C58=AI57,((2*B57)+(2*C57)),IF(C58=AI58,((2*B57)+(2*C57)),0)))*C59</f>
        <v>0</v>
      </c>
      <c r="AK59" s="111">
        <f>(IF(B58=AK57,((2*B57)+(2*C57)),IF(B58=AK58,((2*B57)+(2*C57)),0)))*C59</f>
        <v>0</v>
      </c>
      <c r="AL59" s="260">
        <f>(IF(C58=AK57,((2*B57)+(2*C57)),IF(C58=AK58,((2*B57)+(2*C57)),0)))*C59</f>
        <v>0</v>
      </c>
      <c r="AM59" s="261">
        <f>(IF(B58=AM57,((2*B57)+(2*C57)),IF(B58=AM58,((2*B57)+(2*C57)),0)))*C59</f>
        <v>0</v>
      </c>
      <c r="AN59" s="260">
        <f>(IF(C58=AM57,((2*B57)+(2*C57)),IF(C58=AM58,((2*B57)+(2*C57)),0)))*C59</f>
        <v>0</v>
      </c>
      <c r="AO59" s="111">
        <f>(IF(B58=AO57,((2*B57)+(2*C57)),0))*C59</f>
        <v>0</v>
      </c>
      <c r="AP59" s="260">
        <f>(IF(C58=AO57,((2*B57)+(2*C57)),0))*C59</f>
        <v>0</v>
      </c>
      <c r="AR59" s="268">
        <f>D57*C59</f>
        <v>0</v>
      </c>
      <c r="AT59" s="83" t="str">
        <f>'UC mounting materials '!$B$11</f>
        <v>Rail 41x41</v>
      </c>
      <c r="AU59" s="268">
        <f>IF(Z59&gt;999,(Z59+100),0)*C59</f>
        <v>0</v>
      </c>
      <c r="AW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AX59" s="275" t="str">
        <f>IF(C58=informatieblad!$A$6,informatieblad!$B$6,IF(C58=informatieblad!$A$7,informatieblad!$B$7,IF(C58=informatieblad!$A$8,informatieblad!$B$8,IF(C58=informatieblad!$A$2,informatieblad!$B$2,IF(C58=informatieblad!$A$3,informatieblad!$B$3,IF(C58=informatieblad!$A$4,informatieblad!$B$4,IF(C58=informatieblad!$A$5,informatieblad!$B$5,"")))))))</f>
        <v/>
      </c>
      <c r="AY59" s="276">
        <f>IF(AW59=AY57,(4*C59),0)</f>
        <v>0</v>
      </c>
      <c r="AZ59" s="276">
        <f>IF(AX59=AY57,(4*C59),0)</f>
        <v>0</v>
      </c>
      <c r="BA59" s="276">
        <f>IF(AW59=BA57,(4*C59),0)</f>
        <v>0</v>
      </c>
      <c r="BB59" s="274">
        <f>IF(AX59=BA57,(4*C59),0)</f>
        <v>0</v>
      </c>
    </row>
    <row r="60" spans="1:54" ht="5.0999999999999996" customHeight="1" thickBot="1">
      <c r="A60" s="122"/>
      <c r="B60" s="122"/>
      <c r="C60" s="122"/>
      <c r="D60" s="122"/>
      <c r="E60" s="122"/>
      <c r="F60" s="122"/>
      <c r="G60" s="122"/>
      <c r="H60" s="122"/>
      <c r="AT60" s="83"/>
    </row>
    <row r="61" spans="1:54" ht="15.75" thickBot="1">
      <c r="A61" s="445"/>
      <c r="B61" s="96"/>
      <c r="C61" s="96"/>
      <c r="D61" s="96"/>
      <c r="E61" s="448"/>
      <c r="F61" s="449"/>
      <c r="G61" s="449"/>
      <c r="H61" s="450"/>
      <c r="I61" s="345" t="s">
        <v>20</v>
      </c>
      <c r="M61" s="97" t="s">
        <v>14</v>
      </c>
      <c r="N61" s="98" t="s">
        <v>27</v>
      </c>
      <c r="O61" s="98" t="s">
        <v>28</v>
      </c>
      <c r="P61" s="98" t="s">
        <v>27</v>
      </c>
      <c r="Q61" s="98" t="s">
        <v>28</v>
      </c>
      <c r="R61" s="98" t="s">
        <v>29</v>
      </c>
      <c r="S61" s="66" t="s">
        <v>30</v>
      </c>
      <c r="T61" s="99" t="s">
        <v>31</v>
      </c>
      <c r="U61" s="99"/>
      <c r="V61" s="99"/>
      <c r="W61" s="98" t="s">
        <v>32</v>
      </c>
      <c r="X61" s="98" t="s">
        <v>32</v>
      </c>
      <c r="Y61" s="98"/>
      <c r="Z61" s="98" t="s">
        <v>33</v>
      </c>
      <c r="AA61" s="100" t="s">
        <v>34</v>
      </c>
      <c r="AB61" s="98" t="s">
        <v>32</v>
      </c>
      <c r="AC61" s="98" t="s">
        <v>32</v>
      </c>
      <c r="AD61" s="98" t="s">
        <v>32</v>
      </c>
      <c r="AE61" s="98" t="s">
        <v>32</v>
      </c>
      <c r="AF61" s="98" t="s">
        <v>35</v>
      </c>
      <c r="AG61" s="101" t="s">
        <v>36</v>
      </c>
      <c r="AI61" s="97" t="str">
        <f>informatieblad!$A$6</f>
        <v>FL20</v>
      </c>
      <c r="AJ61" s="99"/>
      <c r="AK61" s="97" t="str">
        <f>informatieblad!$A$7</f>
        <v>FL30</v>
      </c>
      <c r="AL61" s="66"/>
      <c r="AM61" s="99" t="str">
        <f>informatieblad!$A$8</f>
        <v>FL40</v>
      </c>
      <c r="AN61" s="66"/>
      <c r="AO61" s="97" t="str">
        <f>informatieblad!$A$5</f>
        <v>none</v>
      </c>
      <c r="AP61" s="264"/>
      <c r="AR61" s="266" t="s">
        <v>17</v>
      </c>
      <c r="AT61" s="83"/>
      <c r="AU61" s="266" t="s">
        <v>37</v>
      </c>
      <c r="AW61" s="269" t="s">
        <v>38</v>
      </c>
      <c r="AX61" s="272"/>
      <c r="AY61" s="272">
        <f>informatieblad!$B$3</f>
        <v>0</v>
      </c>
      <c r="AZ61" s="272">
        <f>informatieblad!$B$3</f>
        <v>0</v>
      </c>
      <c r="BA61" s="272">
        <f>informatieblad!$B$4</f>
        <v>0</v>
      </c>
      <c r="BB61" s="264">
        <f>informatieblad!$B$4</f>
        <v>0</v>
      </c>
    </row>
    <row r="62" spans="1:54">
      <c r="A62" s="446"/>
      <c r="B62" s="102" t="str">
        <f>IF($C63&gt;0,IF(MAX(B61:C61)&lt;informatieblad!$Q$4,informatieblad!$P$3,IF(MAX(B61:C61)&gt;informatieblad!$R$4,informatieblad!$P$5,informatieblad!$P$4)),"")</f>
        <v/>
      </c>
      <c r="C62" s="102" t="str">
        <f>IF($C63&gt;0,IF(MAX(B61:C61)&lt;informatieblad!$Q$4,informatieblad!$P$3,IF(MAX(B61:C61)&gt;informatieblad!$R$4,informatieblad!$P$5,informatieblad!$P$4)),"")</f>
        <v/>
      </c>
      <c r="D62" s="88"/>
      <c r="E62" s="89" t="str">
        <f>A61&amp;"-"&amp;informatieblad!$B$12&amp;"-"&amp;B61&amp;"-"&amp;C61&amp;"-"&amp;D61&amp;"-"&amp;B62&amp;"-"&amp;C62&amp;"-"&amp;F63</f>
        <v>-RctD------Options None</v>
      </c>
      <c r="F62" s="90"/>
      <c r="G62" s="90"/>
      <c r="H62" s="91"/>
      <c r="M62" s="103">
        <f>A61</f>
        <v>0</v>
      </c>
      <c r="N62" s="104" t="s">
        <v>39</v>
      </c>
      <c r="O62" s="104" t="s">
        <v>39</v>
      </c>
      <c r="P62" s="104" t="s">
        <v>40</v>
      </c>
      <c r="Q62" s="104" t="s">
        <v>40</v>
      </c>
      <c r="R62" s="104" t="s">
        <v>40</v>
      </c>
      <c r="S62" s="105"/>
      <c r="T62" s="106" t="s">
        <v>27</v>
      </c>
      <c r="U62" s="106" t="s">
        <v>40</v>
      </c>
      <c r="V62" s="106" t="s">
        <v>41</v>
      </c>
      <c r="W62" s="104" t="s">
        <v>42</v>
      </c>
      <c r="X62" s="104" t="s">
        <v>43</v>
      </c>
      <c r="Y62" s="104"/>
      <c r="Z62" s="104" t="s">
        <v>44</v>
      </c>
      <c r="AA62" s="107"/>
      <c r="AB62" s="104" t="s">
        <v>45</v>
      </c>
      <c r="AC62" s="104" t="s">
        <v>42</v>
      </c>
      <c r="AD62" s="104" t="s">
        <v>43</v>
      </c>
      <c r="AE62" s="104" t="s">
        <v>46</v>
      </c>
      <c r="AF62" s="108"/>
      <c r="AG62" s="109"/>
      <c r="AI62" s="262" t="str">
        <f>informatieblad!$A$2</f>
        <v>FL20 loose</v>
      </c>
      <c r="AJ62" s="263"/>
      <c r="AK62" s="262" t="str">
        <f>informatieblad!$A$3</f>
        <v>FL30 loose</v>
      </c>
      <c r="AL62" s="105"/>
      <c r="AM62" s="263" t="str">
        <f>informatieblad!$A$4</f>
        <v>FL40 loose</v>
      </c>
      <c r="AN62" s="105"/>
      <c r="AO62" s="265"/>
      <c r="AP62" s="105"/>
      <c r="AR62" s="267"/>
      <c r="AT62" s="83" t="str">
        <f>'UC mounting materials '!$B$10</f>
        <v>Rail 30x15</v>
      </c>
      <c r="AU62" s="327">
        <f>IF(Z63&lt;1000,(Z63+100),0)*C63</f>
        <v>0</v>
      </c>
      <c r="AW62" s="265" t="s">
        <v>47</v>
      </c>
      <c r="AX62" s="106" t="s">
        <v>48</v>
      </c>
      <c r="AY62" s="83" t="s">
        <v>23</v>
      </c>
      <c r="AZ62" s="83" t="s">
        <v>23</v>
      </c>
      <c r="BA62" s="83" t="s">
        <v>23</v>
      </c>
      <c r="BB62" s="273" t="s">
        <v>23</v>
      </c>
    </row>
    <row r="63" spans="1:54" ht="15.75" thickBot="1">
      <c r="A63" s="447"/>
      <c r="B63" s="92" t="s">
        <v>23</v>
      </c>
      <c r="C63" s="110"/>
      <c r="D63" s="94">
        <f>C63*O63</f>
        <v>0</v>
      </c>
      <c r="E63" s="95" t="s">
        <v>24</v>
      </c>
      <c r="F63" s="451" t="s">
        <v>25</v>
      </c>
      <c r="G63" s="452"/>
      <c r="H63" s="453"/>
      <c r="M63" s="111"/>
      <c r="N63" s="112">
        <f>(((2*(B61+C61))*D61)/1000000)</f>
        <v>0</v>
      </c>
      <c r="O63" s="112">
        <f>((IF(N63&lt;=informatieblad!$I$12,informatieblad!$I$12,IF(N63&gt;=informatieblad!$I$12,N63))))</f>
        <v>0.5</v>
      </c>
      <c r="P63" s="112">
        <f>(((2*B61)+(2*C61))*D61)/1000000</f>
        <v>0</v>
      </c>
      <c r="Q63" s="112">
        <f>((IF(P63&lt;=informatieblad!$H$12,informatieblad!$H$12,IF(P63&gt;=informatieblad!$H$12,P63))))</f>
        <v>0</v>
      </c>
      <c r="R63" s="113">
        <f>((Q63*X63)+(Q63*U63))*C63</f>
        <v>0</v>
      </c>
      <c r="S63" s="114">
        <f>((O63*W63)+(O63*V63))*C63</f>
        <v>0</v>
      </c>
      <c r="T63" s="115" t="str">
        <f>F63</f>
        <v>Options None</v>
      </c>
      <c r="U63" s="116">
        <f>VLOOKUP(F63,informatieblad!$A$37:$D$41,2,FALSE)</f>
        <v>0</v>
      </c>
      <c r="V63" s="116">
        <f>VLOOKUP(F63,informatieblad!$A$37:$D$41,4,FALSE)</f>
        <v>0</v>
      </c>
      <c r="W63" s="117">
        <f>((IF(D61&lt;=900,AC63,IF(D61&gt;=900,AE63))))</f>
        <v>45.1248</v>
      </c>
      <c r="X63" s="118">
        <f>((IF(D61&lt;=900,AB63,IF(D61&gt;=900,AD63))))</f>
        <v>0</v>
      </c>
      <c r="Y63" s="119"/>
      <c r="Z63" s="119">
        <f>(MAX(B61:C61))</f>
        <v>0</v>
      </c>
      <c r="AA63" s="119">
        <f>LOOKUP(Z63,informatieblad!$C$27:$C$32,informatieblad!$A$27:$A$32)</f>
        <v>0.5</v>
      </c>
      <c r="AB63" s="118">
        <f>VLOOKUP(AA63,informatieblad!$A$27:$M$32,6,FALSE)</f>
        <v>0</v>
      </c>
      <c r="AC63" s="118">
        <f>VLOOKUP(AA63,informatieblad!$A$27:$M$32,8,FALSE)</f>
        <v>45.1248</v>
      </c>
      <c r="AD63" s="118">
        <f>VLOOKUP(AA63,informatieblad!$A$27:$M$32,9,FALSE)</f>
        <v>0</v>
      </c>
      <c r="AE63" s="118">
        <f>VLOOKUP(AA63,informatieblad!$A$27:$M$32,11,FALSE)</f>
        <v>32.463200000000001</v>
      </c>
      <c r="AF63" s="120">
        <f>VLOOKUP(AA63,informatieblad!$A$27:$M$32,13,FALSE)</f>
        <v>4</v>
      </c>
      <c r="AG63" s="121">
        <f>ROUND((AF63*P63),1)</f>
        <v>0</v>
      </c>
      <c r="AI63" s="111">
        <f>(IF(B62=AI61,((2*B61)+(2*C61)),IF(B62=AI62,((2*B61)+(2*C61)),0)))*C63</f>
        <v>0</v>
      </c>
      <c r="AJ63" s="261">
        <f>(IF(C62=AI61,((2*B61)+(2*C61)),IF(C62=AI62,((2*B61)+(2*C61)),0)))*C63</f>
        <v>0</v>
      </c>
      <c r="AK63" s="111">
        <f>(IF(B62=AK61,((2*B61)+(2*C61)),IF(B62=AK62,((2*B61)+(2*C61)),0)))*C63</f>
        <v>0</v>
      </c>
      <c r="AL63" s="260">
        <f>(IF(C62=AK61,((2*B61)+(2*C61)),IF(C62=AK62,((2*B61)+(2*C61)),0)))*C63</f>
        <v>0</v>
      </c>
      <c r="AM63" s="261">
        <f>(IF(B62=AM61,((2*B61)+(2*C61)),IF(B62=AM62,((2*B61)+(2*C61)),0)))*C63</f>
        <v>0</v>
      </c>
      <c r="AN63" s="260">
        <f>(IF(C62=AM61,((2*B61)+(2*C61)),IF(C62=AM62,((2*B61)+(2*C61)),0)))*C63</f>
        <v>0</v>
      </c>
      <c r="AO63" s="111">
        <f>(IF(B62=AO61,((2*B61)+(2*C61)),0))*C63</f>
        <v>0</v>
      </c>
      <c r="AP63" s="260">
        <f>(IF(C62=AO61,((2*B61)+(2*C61)),0))*C63</f>
        <v>0</v>
      </c>
      <c r="AR63" s="268">
        <f>D61*C63</f>
        <v>0</v>
      </c>
      <c r="AT63" s="83" t="str">
        <f>'UC mounting materials '!$B$11</f>
        <v>Rail 41x41</v>
      </c>
      <c r="AU63" s="268">
        <f>IF(Z63&gt;999,(Z63+100),0)*C63</f>
        <v>0</v>
      </c>
      <c r="AW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AX63" s="275" t="str">
        <f>IF(C62=informatieblad!$A$6,informatieblad!$B$6,IF(C62=informatieblad!$A$7,informatieblad!$B$7,IF(C62=informatieblad!$A$8,informatieblad!$B$8,IF(C62=informatieblad!$A$2,informatieblad!$B$2,IF(C62=informatieblad!$A$3,informatieblad!$B$3,IF(C62=informatieblad!$A$4,informatieblad!$B$4,IF(C62=informatieblad!$A$5,informatieblad!$B$5,"")))))))</f>
        <v/>
      </c>
      <c r="AY63" s="276">
        <f>IF(AW63=AY61,(4*C63),0)</f>
        <v>0</v>
      </c>
      <c r="AZ63" s="276">
        <f>IF(AX63=AY61,(4*C63),0)</f>
        <v>0</v>
      </c>
      <c r="BA63" s="276">
        <f>IF(AW63=BA61,(4*C63),0)</f>
        <v>0</v>
      </c>
      <c r="BB63" s="274">
        <f>IF(AX63=BA61,(4*C63),0)</f>
        <v>0</v>
      </c>
    </row>
    <row r="64" spans="1:54" ht="5.0999999999999996" customHeight="1" thickBot="1">
      <c r="A64" s="122"/>
      <c r="B64" s="122"/>
      <c r="C64" s="122"/>
      <c r="D64" s="122"/>
      <c r="E64" s="122"/>
      <c r="F64" s="122"/>
      <c r="G64" s="122"/>
      <c r="H64" s="122"/>
      <c r="AT64" s="83"/>
    </row>
    <row r="65" spans="1:54" ht="15.75" thickBot="1">
      <c r="A65" s="445"/>
      <c r="B65" s="96"/>
      <c r="C65" s="96"/>
      <c r="D65" s="96"/>
      <c r="E65" s="448"/>
      <c r="F65" s="449"/>
      <c r="G65" s="449"/>
      <c r="H65" s="450"/>
      <c r="I65" s="345" t="s">
        <v>20</v>
      </c>
      <c r="M65" s="97" t="s">
        <v>14</v>
      </c>
      <c r="N65" s="98" t="s">
        <v>27</v>
      </c>
      <c r="O65" s="98" t="s">
        <v>28</v>
      </c>
      <c r="P65" s="98" t="s">
        <v>27</v>
      </c>
      <c r="Q65" s="98" t="s">
        <v>28</v>
      </c>
      <c r="R65" s="98" t="s">
        <v>29</v>
      </c>
      <c r="S65" s="66" t="s">
        <v>30</v>
      </c>
      <c r="T65" s="99" t="s">
        <v>31</v>
      </c>
      <c r="U65" s="99"/>
      <c r="V65" s="99"/>
      <c r="W65" s="98" t="s">
        <v>32</v>
      </c>
      <c r="X65" s="98" t="s">
        <v>32</v>
      </c>
      <c r="Y65" s="98"/>
      <c r="Z65" s="98" t="s">
        <v>33</v>
      </c>
      <c r="AA65" s="100" t="s">
        <v>34</v>
      </c>
      <c r="AB65" s="98" t="s">
        <v>32</v>
      </c>
      <c r="AC65" s="98" t="s">
        <v>32</v>
      </c>
      <c r="AD65" s="98" t="s">
        <v>32</v>
      </c>
      <c r="AE65" s="98" t="s">
        <v>32</v>
      </c>
      <c r="AF65" s="98" t="s">
        <v>35</v>
      </c>
      <c r="AG65" s="101" t="s">
        <v>36</v>
      </c>
      <c r="AI65" s="97" t="str">
        <f>informatieblad!$A$6</f>
        <v>FL20</v>
      </c>
      <c r="AJ65" s="99"/>
      <c r="AK65" s="97" t="str">
        <f>informatieblad!$A$7</f>
        <v>FL30</v>
      </c>
      <c r="AL65" s="66"/>
      <c r="AM65" s="99" t="str">
        <f>informatieblad!$A$8</f>
        <v>FL40</v>
      </c>
      <c r="AN65" s="66"/>
      <c r="AO65" s="97" t="str">
        <f>informatieblad!$A$5</f>
        <v>none</v>
      </c>
      <c r="AP65" s="264"/>
      <c r="AR65" s="266" t="s">
        <v>17</v>
      </c>
      <c r="AT65" s="83"/>
      <c r="AU65" s="266" t="s">
        <v>37</v>
      </c>
      <c r="AW65" s="269" t="s">
        <v>38</v>
      </c>
      <c r="AX65" s="272"/>
      <c r="AY65" s="272">
        <f>informatieblad!$B$3</f>
        <v>0</v>
      </c>
      <c r="AZ65" s="272">
        <f>informatieblad!$B$3</f>
        <v>0</v>
      </c>
      <c r="BA65" s="272">
        <f>informatieblad!$B$4</f>
        <v>0</v>
      </c>
      <c r="BB65" s="264">
        <f>informatieblad!$B$4</f>
        <v>0</v>
      </c>
    </row>
    <row r="66" spans="1:54">
      <c r="A66" s="446"/>
      <c r="B66" s="102" t="str">
        <f>IF($C67&gt;0,IF(MAX(B65:C65)&lt;informatieblad!$Q$4,informatieblad!$P$3,IF(MAX(B65:C65)&gt;informatieblad!$R$4,informatieblad!$P$5,informatieblad!$P$4)),"")</f>
        <v/>
      </c>
      <c r="C66" s="102" t="str">
        <f>IF($C67&gt;0,IF(MAX(B65:C65)&lt;informatieblad!$Q$4,informatieblad!$P$3,IF(MAX(B65:C65)&gt;informatieblad!$R$4,informatieblad!$P$5,informatieblad!$P$4)),"")</f>
        <v/>
      </c>
      <c r="D66" s="88"/>
      <c r="E66" s="89" t="str">
        <f>A65&amp;"-"&amp;informatieblad!$B$12&amp;"-"&amp;B65&amp;"-"&amp;C65&amp;"-"&amp;D65&amp;"-"&amp;B66&amp;"-"&amp;C66&amp;"-"&amp;F67</f>
        <v>-RctD------Options None</v>
      </c>
      <c r="F66" s="90"/>
      <c r="G66" s="90"/>
      <c r="H66" s="91"/>
      <c r="M66" s="103">
        <f>A65</f>
        <v>0</v>
      </c>
      <c r="N66" s="104" t="s">
        <v>39</v>
      </c>
      <c r="O66" s="104" t="s">
        <v>39</v>
      </c>
      <c r="P66" s="104" t="s">
        <v>40</v>
      </c>
      <c r="Q66" s="104" t="s">
        <v>40</v>
      </c>
      <c r="R66" s="104" t="s">
        <v>40</v>
      </c>
      <c r="S66" s="105"/>
      <c r="T66" s="106" t="s">
        <v>27</v>
      </c>
      <c r="U66" s="106" t="s">
        <v>40</v>
      </c>
      <c r="V66" s="106" t="s">
        <v>41</v>
      </c>
      <c r="W66" s="104" t="s">
        <v>42</v>
      </c>
      <c r="X66" s="104" t="s">
        <v>43</v>
      </c>
      <c r="Y66" s="104"/>
      <c r="Z66" s="104" t="s">
        <v>44</v>
      </c>
      <c r="AA66" s="107"/>
      <c r="AB66" s="104" t="s">
        <v>45</v>
      </c>
      <c r="AC66" s="104" t="s">
        <v>42</v>
      </c>
      <c r="AD66" s="104" t="s">
        <v>43</v>
      </c>
      <c r="AE66" s="104" t="s">
        <v>46</v>
      </c>
      <c r="AF66" s="108"/>
      <c r="AG66" s="109"/>
      <c r="AI66" s="262" t="str">
        <f>informatieblad!$A$2</f>
        <v>FL20 loose</v>
      </c>
      <c r="AJ66" s="263"/>
      <c r="AK66" s="262" t="str">
        <f>informatieblad!$A$3</f>
        <v>FL30 loose</v>
      </c>
      <c r="AL66" s="105"/>
      <c r="AM66" s="263" t="str">
        <f>informatieblad!$A$4</f>
        <v>FL40 loose</v>
      </c>
      <c r="AN66" s="105"/>
      <c r="AO66" s="265"/>
      <c r="AP66" s="105"/>
      <c r="AR66" s="267"/>
      <c r="AT66" s="83" t="str">
        <f>'UC mounting materials '!$B$10</f>
        <v>Rail 30x15</v>
      </c>
      <c r="AU66" s="327">
        <f>IF(Z67&lt;1000,(Z67+100),0)*C67</f>
        <v>0</v>
      </c>
      <c r="AW66" s="265" t="s">
        <v>47</v>
      </c>
      <c r="AX66" s="106" t="s">
        <v>48</v>
      </c>
      <c r="AY66" s="83" t="s">
        <v>23</v>
      </c>
      <c r="AZ66" s="83" t="s">
        <v>23</v>
      </c>
      <c r="BA66" s="83" t="s">
        <v>23</v>
      </c>
      <c r="BB66" s="273" t="s">
        <v>23</v>
      </c>
    </row>
    <row r="67" spans="1:54" ht="15.75" thickBot="1">
      <c r="A67" s="447"/>
      <c r="B67" s="92" t="s">
        <v>23</v>
      </c>
      <c r="C67" s="110"/>
      <c r="D67" s="94">
        <f>C67*O67</f>
        <v>0</v>
      </c>
      <c r="E67" s="95" t="s">
        <v>24</v>
      </c>
      <c r="F67" s="451" t="s">
        <v>25</v>
      </c>
      <c r="G67" s="452"/>
      <c r="H67" s="453"/>
      <c r="M67" s="111"/>
      <c r="N67" s="112">
        <f>(((2*(B65+C65))*D65)/1000000)</f>
        <v>0</v>
      </c>
      <c r="O67" s="112">
        <f>((IF(N67&lt;=informatieblad!$I$12,informatieblad!$I$12,IF(N67&gt;=informatieblad!$I$12,N67))))</f>
        <v>0.5</v>
      </c>
      <c r="P67" s="112">
        <f>(((2*B65)+(2*C65))*D65)/1000000</f>
        <v>0</v>
      </c>
      <c r="Q67" s="112">
        <f>((IF(P67&lt;=informatieblad!$H$12,informatieblad!$H$12,IF(P67&gt;=informatieblad!$H$12,P67))))</f>
        <v>0</v>
      </c>
      <c r="R67" s="113">
        <f>((Q67*X67)+(Q67*U67))*C67</f>
        <v>0</v>
      </c>
      <c r="S67" s="114">
        <f>((O67*W67)+(O67*V67))*C67</f>
        <v>0</v>
      </c>
      <c r="T67" s="115" t="str">
        <f>F67</f>
        <v>Options None</v>
      </c>
      <c r="U67" s="116">
        <f>VLOOKUP(F67,informatieblad!$A$37:$D$41,2,FALSE)</f>
        <v>0</v>
      </c>
      <c r="V67" s="116">
        <f>VLOOKUP(F67,informatieblad!$A$37:$D$41,4,FALSE)</f>
        <v>0</v>
      </c>
      <c r="W67" s="117">
        <f>((IF(D65&lt;=900,AC67,IF(D65&gt;=900,AE67))))</f>
        <v>45.1248</v>
      </c>
      <c r="X67" s="118">
        <f>((IF(D65&lt;=900,AB67,IF(D65&gt;=900,AD67))))</f>
        <v>0</v>
      </c>
      <c r="Y67" s="119"/>
      <c r="Z67" s="119">
        <f>(MAX(B65:C65))</f>
        <v>0</v>
      </c>
      <c r="AA67" s="119">
        <f>LOOKUP(Z67,informatieblad!$C$27:$C$32,informatieblad!$A$27:$A$32)</f>
        <v>0.5</v>
      </c>
      <c r="AB67" s="118">
        <f>VLOOKUP(AA67,informatieblad!$A$27:$M$32,6,FALSE)</f>
        <v>0</v>
      </c>
      <c r="AC67" s="118">
        <f>VLOOKUP(AA67,informatieblad!$A$27:$M$32,8,FALSE)</f>
        <v>45.1248</v>
      </c>
      <c r="AD67" s="118">
        <f>VLOOKUP(AA67,informatieblad!$A$27:$M$32,9,FALSE)</f>
        <v>0</v>
      </c>
      <c r="AE67" s="118">
        <f>VLOOKUP(AA67,informatieblad!$A$27:$M$32,11,FALSE)</f>
        <v>32.463200000000001</v>
      </c>
      <c r="AF67" s="120">
        <f>VLOOKUP(AA67,informatieblad!$A$27:$M$32,13,FALSE)</f>
        <v>4</v>
      </c>
      <c r="AG67" s="121">
        <f>ROUND((AF67*P67),1)</f>
        <v>0</v>
      </c>
      <c r="AI67" s="111">
        <f>(IF(B66=AI65,((2*B65)+(2*C65)),IF(B66=AI66,((2*B65)+(2*C65)),0)))*C67</f>
        <v>0</v>
      </c>
      <c r="AJ67" s="261">
        <f>(IF(C66=AI65,((2*B65)+(2*C65)),IF(C66=AI66,((2*B65)+(2*C65)),0)))*C67</f>
        <v>0</v>
      </c>
      <c r="AK67" s="111">
        <f>(IF(B66=AK65,((2*B65)+(2*C65)),IF(B66=AK66,((2*B65)+(2*C65)),0)))*C67</f>
        <v>0</v>
      </c>
      <c r="AL67" s="260">
        <f>(IF(C66=AK65,((2*B65)+(2*C65)),IF(C66=AK66,((2*B65)+(2*C65)),0)))*C67</f>
        <v>0</v>
      </c>
      <c r="AM67" s="261">
        <f>(IF(B66=AM65,((2*B65)+(2*C65)),IF(B66=AM66,((2*B65)+(2*C65)),0)))*C67</f>
        <v>0</v>
      </c>
      <c r="AN67" s="260">
        <f>(IF(C66=AM65,((2*B65)+(2*C65)),IF(C66=AM66,((2*B65)+(2*C65)),0)))*C67</f>
        <v>0</v>
      </c>
      <c r="AO67" s="111">
        <f>(IF(B66=AO65,((2*B65)+(2*C65)),0))*C67</f>
        <v>0</v>
      </c>
      <c r="AP67" s="260">
        <f>(IF(C66=AO65,((2*B65)+(2*C65)),0))*C67</f>
        <v>0</v>
      </c>
      <c r="AR67" s="268">
        <f>D65*C67</f>
        <v>0</v>
      </c>
      <c r="AT67" s="83" t="str">
        <f>'UC mounting materials '!$B$11</f>
        <v>Rail 41x41</v>
      </c>
      <c r="AU67" s="268">
        <f>IF(Z67&gt;999,(Z67+100),0)*C67</f>
        <v>0</v>
      </c>
      <c r="AW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AX67" s="275" t="str">
        <f>IF(C66=informatieblad!$A$6,informatieblad!$B$6,IF(C66=informatieblad!$A$7,informatieblad!$B$7,IF(C66=informatieblad!$A$8,informatieblad!$B$8,IF(C66=informatieblad!$A$2,informatieblad!$B$2,IF(C66=informatieblad!$A$3,informatieblad!$B$3,IF(C66=informatieblad!$A$4,informatieblad!$B$4,IF(C66=informatieblad!$A$5,informatieblad!$B$5,"")))))))</f>
        <v/>
      </c>
      <c r="AY67" s="276">
        <f>IF(AW67=AY65,(4*C67),0)</f>
        <v>0</v>
      </c>
      <c r="AZ67" s="276">
        <f>IF(AX67=AY65,(4*C67),0)</f>
        <v>0</v>
      </c>
      <c r="BA67" s="276">
        <f>IF(AW67=BA65,(4*C67),0)</f>
        <v>0</v>
      </c>
      <c r="BB67" s="274">
        <f>IF(AX67=BA65,(4*C67),0)</f>
        <v>0</v>
      </c>
    </row>
    <row r="68" spans="1:54" ht="5.0999999999999996" customHeight="1" thickBot="1">
      <c r="A68" s="335"/>
      <c r="B68" s="88"/>
      <c r="C68" s="336"/>
      <c r="D68" s="337"/>
      <c r="E68" s="174"/>
      <c r="F68" s="336"/>
      <c r="G68" s="338"/>
      <c r="H68" s="338"/>
      <c r="M68" s="83"/>
      <c r="N68" s="142"/>
      <c r="O68" s="142"/>
      <c r="P68" s="142"/>
      <c r="Q68" s="142"/>
      <c r="R68" s="143"/>
      <c r="S68" s="143"/>
      <c r="T68" s="339"/>
      <c r="U68" s="340"/>
      <c r="V68" s="340"/>
      <c r="W68" s="341"/>
      <c r="X68" s="144"/>
      <c r="Y68" s="83"/>
      <c r="Z68" s="83"/>
      <c r="AA68" s="83"/>
      <c r="AB68" s="144"/>
      <c r="AC68" s="144"/>
      <c r="AD68" s="144"/>
      <c r="AE68" s="144"/>
      <c r="AF68" s="142"/>
      <c r="AG68" s="142"/>
      <c r="AT68" s="83"/>
      <c r="BB68" s="273"/>
    </row>
    <row r="69" spans="1:54" ht="15.75" thickBot="1">
      <c r="A69" s="445"/>
      <c r="B69" s="96"/>
      <c r="C69" s="96"/>
      <c r="D69" s="96"/>
      <c r="E69" s="448"/>
      <c r="F69" s="449"/>
      <c r="G69" s="449"/>
      <c r="H69" s="450"/>
      <c r="I69" s="345" t="s">
        <v>20</v>
      </c>
      <c r="M69" s="97" t="s">
        <v>14</v>
      </c>
      <c r="N69" s="98" t="s">
        <v>27</v>
      </c>
      <c r="O69" s="98" t="s">
        <v>28</v>
      </c>
      <c r="P69" s="98" t="s">
        <v>27</v>
      </c>
      <c r="Q69" s="98" t="s">
        <v>28</v>
      </c>
      <c r="R69" s="98" t="s">
        <v>29</v>
      </c>
      <c r="S69" s="66" t="s">
        <v>30</v>
      </c>
      <c r="T69" s="99" t="s">
        <v>31</v>
      </c>
      <c r="U69" s="99"/>
      <c r="V69" s="99"/>
      <c r="W69" s="98" t="s">
        <v>32</v>
      </c>
      <c r="X69" s="98" t="s">
        <v>32</v>
      </c>
      <c r="Y69" s="98"/>
      <c r="Z69" s="98" t="s">
        <v>33</v>
      </c>
      <c r="AA69" s="100" t="s">
        <v>34</v>
      </c>
      <c r="AB69" s="98" t="s">
        <v>32</v>
      </c>
      <c r="AC69" s="98" t="s">
        <v>32</v>
      </c>
      <c r="AD69" s="98" t="s">
        <v>32</v>
      </c>
      <c r="AE69" s="98" t="s">
        <v>32</v>
      </c>
      <c r="AF69" s="98" t="s">
        <v>35</v>
      </c>
      <c r="AG69" s="101" t="s">
        <v>36</v>
      </c>
      <c r="AI69" s="97" t="str">
        <f>informatieblad!$A$6</f>
        <v>FL20</v>
      </c>
      <c r="AJ69" s="99"/>
      <c r="AK69" s="97" t="str">
        <f>informatieblad!$A$7</f>
        <v>FL30</v>
      </c>
      <c r="AL69" s="66"/>
      <c r="AM69" s="99" t="str">
        <f>informatieblad!$A$8</f>
        <v>FL40</v>
      </c>
      <c r="AN69" s="66"/>
      <c r="AO69" s="97" t="str">
        <f>informatieblad!$A$5</f>
        <v>none</v>
      </c>
      <c r="AP69" s="264"/>
      <c r="AR69" s="266" t="s">
        <v>17</v>
      </c>
      <c r="AT69" s="83"/>
      <c r="AU69" s="266" t="s">
        <v>37</v>
      </c>
      <c r="AW69" s="269" t="s">
        <v>38</v>
      </c>
      <c r="AX69" s="272"/>
      <c r="AY69" s="272">
        <f>informatieblad!$B$3</f>
        <v>0</v>
      </c>
      <c r="AZ69" s="272">
        <f>informatieblad!$B$3</f>
        <v>0</v>
      </c>
      <c r="BA69" s="272">
        <f>informatieblad!$B$4</f>
        <v>0</v>
      </c>
      <c r="BB69" s="264">
        <f>informatieblad!$B$4</f>
        <v>0</v>
      </c>
    </row>
    <row r="70" spans="1:54">
      <c r="A70" s="446"/>
      <c r="B70" s="102" t="str">
        <f>IF($C71&gt;0,IF(MAX(B69:C69)&lt;informatieblad!$Q$4,informatieblad!$P$3,IF(MAX(B69:C69)&gt;informatieblad!$R$4,informatieblad!$P$5,informatieblad!$P$4)),"")</f>
        <v/>
      </c>
      <c r="C70" s="102" t="str">
        <f>IF($C71&gt;0,IF(MAX(B69:C69)&lt;informatieblad!$Q$4,informatieblad!$P$3,IF(MAX(B69:C69)&gt;informatieblad!$R$4,informatieblad!$P$5,informatieblad!$P$4)),"")</f>
        <v/>
      </c>
      <c r="D70" s="88"/>
      <c r="E70" s="89" t="str">
        <f>A69&amp;"-"&amp;informatieblad!$B$12&amp;"-"&amp;B69&amp;"-"&amp;C69&amp;"-"&amp;D69&amp;"-"&amp;B70&amp;"-"&amp;C70&amp;"-"&amp;F71</f>
        <v>-RctD------Options None</v>
      </c>
      <c r="F70" s="90"/>
      <c r="G70" s="90"/>
      <c r="H70" s="91"/>
      <c r="M70" s="103">
        <f>A69</f>
        <v>0</v>
      </c>
      <c r="N70" s="104" t="s">
        <v>39</v>
      </c>
      <c r="O70" s="104" t="s">
        <v>39</v>
      </c>
      <c r="P70" s="104" t="s">
        <v>40</v>
      </c>
      <c r="Q70" s="104" t="s">
        <v>40</v>
      </c>
      <c r="R70" s="104" t="s">
        <v>40</v>
      </c>
      <c r="S70" s="105"/>
      <c r="T70" s="106" t="s">
        <v>27</v>
      </c>
      <c r="U70" s="106" t="s">
        <v>40</v>
      </c>
      <c r="V70" s="106" t="s">
        <v>41</v>
      </c>
      <c r="W70" s="104" t="s">
        <v>42</v>
      </c>
      <c r="X70" s="104" t="s">
        <v>43</v>
      </c>
      <c r="Y70" s="104"/>
      <c r="Z70" s="104" t="s">
        <v>44</v>
      </c>
      <c r="AA70" s="107"/>
      <c r="AB70" s="104" t="s">
        <v>45</v>
      </c>
      <c r="AC70" s="104" t="s">
        <v>42</v>
      </c>
      <c r="AD70" s="104" t="s">
        <v>43</v>
      </c>
      <c r="AE70" s="104" t="s">
        <v>46</v>
      </c>
      <c r="AF70" s="108"/>
      <c r="AG70" s="109"/>
      <c r="AI70" s="262" t="str">
        <f>informatieblad!$A$2</f>
        <v>FL20 loose</v>
      </c>
      <c r="AJ70" s="263"/>
      <c r="AK70" s="262" t="str">
        <f>informatieblad!$A$3</f>
        <v>FL30 loose</v>
      </c>
      <c r="AL70" s="105"/>
      <c r="AM70" s="263" t="str">
        <f>informatieblad!$A$4</f>
        <v>FL40 loose</v>
      </c>
      <c r="AN70" s="105"/>
      <c r="AO70" s="265"/>
      <c r="AP70" s="105"/>
      <c r="AR70" s="267"/>
      <c r="AT70" s="83" t="str">
        <f>'UC mounting materials '!$B$10</f>
        <v>Rail 30x15</v>
      </c>
      <c r="AU70" s="327">
        <f>IF(Z71&lt;1000,(Z71+100),0)*C71</f>
        <v>0</v>
      </c>
      <c r="AW70" s="265" t="s">
        <v>47</v>
      </c>
      <c r="AX70" s="106" t="s">
        <v>48</v>
      </c>
      <c r="AY70" s="83" t="s">
        <v>23</v>
      </c>
      <c r="AZ70" s="83" t="s">
        <v>23</v>
      </c>
      <c r="BA70" s="83" t="s">
        <v>23</v>
      </c>
      <c r="BB70" s="273" t="s">
        <v>23</v>
      </c>
    </row>
    <row r="71" spans="1:54" ht="15.75" thickBot="1">
      <c r="A71" s="447"/>
      <c r="B71" s="92" t="s">
        <v>23</v>
      </c>
      <c r="C71" s="110"/>
      <c r="D71" s="94">
        <f>C71*O71</f>
        <v>0</v>
      </c>
      <c r="E71" s="95" t="s">
        <v>24</v>
      </c>
      <c r="F71" s="451" t="s">
        <v>25</v>
      </c>
      <c r="G71" s="452"/>
      <c r="H71" s="453"/>
      <c r="M71" s="111"/>
      <c r="N71" s="112">
        <f>(((2*(B69+C69))*D69)/1000000)</f>
        <v>0</v>
      </c>
      <c r="O71" s="112">
        <f>((IF(N71&lt;=informatieblad!$I$12,informatieblad!$I$12,IF(N71&gt;=informatieblad!$I$12,N71))))</f>
        <v>0.5</v>
      </c>
      <c r="P71" s="112">
        <f>(((2*B69)+(2*C69))*D69)/1000000</f>
        <v>0</v>
      </c>
      <c r="Q71" s="112">
        <f>((IF(P71&lt;=informatieblad!$H$12,informatieblad!$H$12,IF(P71&gt;=informatieblad!$H$12,P71))))</f>
        <v>0</v>
      </c>
      <c r="R71" s="113">
        <f>((Q71*X71)+(Q71*U71))*C71</f>
        <v>0</v>
      </c>
      <c r="S71" s="114">
        <f>((O71*W71)+(O71*V71))*C71</f>
        <v>0</v>
      </c>
      <c r="T71" s="115" t="str">
        <f>F71</f>
        <v>Options None</v>
      </c>
      <c r="U71" s="116">
        <f>VLOOKUP(F71,informatieblad!$A$37:$D$41,2,FALSE)</f>
        <v>0</v>
      </c>
      <c r="V71" s="116">
        <f>VLOOKUP(F71,informatieblad!$A$37:$D$41,4,FALSE)</f>
        <v>0</v>
      </c>
      <c r="W71" s="117">
        <f>((IF(D69&lt;=900,AC71,IF(D69&gt;=900,AE71))))</f>
        <v>45.1248</v>
      </c>
      <c r="X71" s="118">
        <f>((IF(D69&lt;=900,AB71,IF(D69&gt;=900,AD71))))</f>
        <v>0</v>
      </c>
      <c r="Y71" s="119"/>
      <c r="Z71" s="119">
        <f>(MAX(B69:C69))</f>
        <v>0</v>
      </c>
      <c r="AA71" s="119">
        <f>LOOKUP(Z71,informatieblad!$C$27:$C$32,informatieblad!$A$27:$A$32)</f>
        <v>0.5</v>
      </c>
      <c r="AB71" s="118">
        <f>VLOOKUP(AA71,informatieblad!$A$27:$M$32,6,FALSE)</f>
        <v>0</v>
      </c>
      <c r="AC71" s="118">
        <f>VLOOKUP(AA71,informatieblad!$A$27:$M$32,8,FALSE)</f>
        <v>45.1248</v>
      </c>
      <c r="AD71" s="118">
        <f>VLOOKUP(AA71,informatieblad!$A$27:$M$32,9,FALSE)</f>
        <v>0</v>
      </c>
      <c r="AE71" s="118">
        <f>VLOOKUP(AA71,informatieblad!$A$27:$M$32,11,FALSE)</f>
        <v>32.463200000000001</v>
      </c>
      <c r="AF71" s="120">
        <f>VLOOKUP(AA71,informatieblad!$A$27:$M$32,13,FALSE)</f>
        <v>4</v>
      </c>
      <c r="AG71" s="121">
        <f>ROUND((AF71*P71),1)</f>
        <v>0</v>
      </c>
      <c r="AI71" s="111">
        <f>(IF(B70=AI69,((2*B69)+(2*C69)),IF(B70=AI70,((2*B69)+(2*C69)),0)))*C71</f>
        <v>0</v>
      </c>
      <c r="AJ71" s="261">
        <f>(IF(C70=AI69,((2*B69)+(2*C69)),IF(C70=AI70,((2*B69)+(2*C69)),0)))*C71</f>
        <v>0</v>
      </c>
      <c r="AK71" s="111">
        <f>(IF(B70=AK69,((2*B69)+(2*C69)),IF(B70=AK70,((2*B69)+(2*C69)),0)))*C71</f>
        <v>0</v>
      </c>
      <c r="AL71" s="260">
        <f>(IF(C70=AK69,((2*B69)+(2*C69)),IF(C70=AK70,((2*B69)+(2*C69)),0)))*C71</f>
        <v>0</v>
      </c>
      <c r="AM71" s="261">
        <f>(IF(B70=AM69,((2*B69)+(2*C69)),IF(B70=AM70,((2*B69)+(2*C69)),0)))*C71</f>
        <v>0</v>
      </c>
      <c r="AN71" s="260">
        <f>(IF(C70=AM69,((2*B69)+(2*C69)),IF(C70=AM70,((2*B69)+(2*C69)),0)))*C71</f>
        <v>0</v>
      </c>
      <c r="AO71" s="111">
        <f>(IF(B70=AO69,((2*B69)+(2*C69)),0))*C71</f>
        <v>0</v>
      </c>
      <c r="AP71" s="260">
        <f>(IF(C70=AO69,((2*B69)+(2*C69)),0))*C71</f>
        <v>0</v>
      </c>
      <c r="AR71" s="268">
        <f>D69*C71</f>
        <v>0</v>
      </c>
      <c r="AT71" s="83" t="str">
        <f>'UC mounting materials '!$B$11</f>
        <v>Rail 41x41</v>
      </c>
      <c r="AU71" s="268">
        <f>IF(Z71&gt;999,(Z71+100),0)*C71</f>
        <v>0</v>
      </c>
      <c r="AW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AX71" s="275" t="str">
        <f>IF(C70=informatieblad!$A$6,informatieblad!$B$6,IF(C70=informatieblad!$A$7,informatieblad!$B$7,IF(C70=informatieblad!$A$8,informatieblad!$B$8,IF(C70=informatieblad!$A$2,informatieblad!$B$2,IF(C70=informatieblad!$A$3,informatieblad!$B$3,IF(C70=informatieblad!$A$4,informatieblad!$B$4,IF(C70=informatieblad!$A$5,informatieblad!$B$5,"")))))))</f>
        <v/>
      </c>
      <c r="AY71" s="276">
        <f>IF(AW71=AY69,(4*C71),0)</f>
        <v>0</v>
      </c>
      <c r="AZ71" s="276">
        <f>IF(AX71=AY69,(4*C71),0)</f>
        <v>0</v>
      </c>
      <c r="BA71" s="276">
        <f>IF(AW71=BA69,(4*C71),0)</f>
        <v>0</v>
      </c>
      <c r="BB71" s="274">
        <f>IF(AX71=BA69,(4*C71),0)</f>
        <v>0</v>
      </c>
    </row>
    <row r="72" spans="1:54" ht="5.0999999999999996" customHeight="1" thickBot="1">
      <c r="A72" s="335"/>
      <c r="B72" s="88"/>
      <c r="C72" s="336"/>
      <c r="D72" s="337"/>
      <c r="E72" s="174"/>
      <c r="F72" s="336"/>
      <c r="G72" s="338"/>
      <c r="H72" s="338"/>
      <c r="M72" s="83"/>
      <c r="N72" s="142"/>
      <c r="O72" s="142"/>
      <c r="P72" s="142"/>
      <c r="Q72" s="142"/>
      <c r="R72" s="143"/>
      <c r="S72" s="143"/>
      <c r="T72" s="339"/>
      <c r="U72" s="340"/>
      <c r="V72" s="340"/>
      <c r="W72" s="341"/>
      <c r="X72" s="144"/>
      <c r="Y72" s="83"/>
      <c r="Z72" s="83"/>
      <c r="AA72" s="83"/>
      <c r="AB72" s="144"/>
      <c r="AC72" s="144"/>
      <c r="AD72" s="144"/>
      <c r="AE72" s="144"/>
      <c r="AF72" s="142"/>
      <c r="AG72" s="142"/>
      <c r="AT72" s="83"/>
      <c r="BB72" s="273"/>
    </row>
    <row r="73" spans="1:54" ht="15.75" customHeight="1" thickBot="1">
      <c r="A73" s="445"/>
      <c r="B73" s="96"/>
      <c r="C73" s="96"/>
      <c r="D73" s="96"/>
      <c r="E73" s="448"/>
      <c r="F73" s="449"/>
      <c r="G73" s="449"/>
      <c r="H73" s="450"/>
      <c r="I73" s="345" t="s">
        <v>20</v>
      </c>
      <c r="M73" s="97" t="s">
        <v>14</v>
      </c>
      <c r="N73" s="98" t="s">
        <v>27</v>
      </c>
      <c r="O73" s="98" t="s">
        <v>28</v>
      </c>
      <c r="P73" s="98" t="s">
        <v>27</v>
      </c>
      <c r="Q73" s="98" t="s">
        <v>28</v>
      </c>
      <c r="R73" s="98" t="s">
        <v>29</v>
      </c>
      <c r="S73" s="66" t="s">
        <v>30</v>
      </c>
      <c r="T73" s="99" t="s">
        <v>31</v>
      </c>
      <c r="U73" s="99"/>
      <c r="V73" s="99"/>
      <c r="W73" s="98" t="s">
        <v>32</v>
      </c>
      <c r="X73" s="98" t="s">
        <v>32</v>
      </c>
      <c r="Y73" s="98"/>
      <c r="Z73" s="98" t="s">
        <v>33</v>
      </c>
      <c r="AA73" s="100" t="s">
        <v>34</v>
      </c>
      <c r="AB73" s="98" t="s">
        <v>32</v>
      </c>
      <c r="AC73" s="98" t="s">
        <v>32</v>
      </c>
      <c r="AD73" s="98" t="s">
        <v>32</v>
      </c>
      <c r="AE73" s="98" t="s">
        <v>32</v>
      </c>
      <c r="AF73" s="98" t="s">
        <v>49</v>
      </c>
      <c r="AG73" s="101" t="s">
        <v>36</v>
      </c>
      <c r="AI73" s="97" t="str">
        <f>informatieblad!$A$6</f>
        <v>FL20</v>
      </c>
      <c r="AJ73" s="99"/>
      <c r="AK73" s="97" t="str">
        <f>informatieblad!$A$7</f>
        <v>FL30</v>
      </c>
      <c r="AL73" s="66"/>
      <c r="AM73" s="99" t="str">
        <f>informatieblad!$A$8</f>
        <v>FL40</v>
      </c>
      <c r="AN73" s="66"/>
      <c r="AO73" s="97" t="str">
        <f>informatieblad!$A$5</f>
        <v>none</v>
      </c>
      <c r="AP73" s="264"/>
      <c r="AR73" s="266" t="s">
        <v>17</v>
      </c>
      <c r="AT73" s="83"/>
      <c r="AU73" s="266" t="s">
        <v>37</v>
      </c>
      <c r="AW73" s="269" t="s">
        <v>38</v>
      </c>
      <c r="AX73" s="272"/>
      <c r="AY73" s="272">
        <f>informatieblad!$B$3</f>
        <v>0</v>
      </c>
      <c r="AZ73" s="272">
        <f>informatieblad!$B$3</f>
        <v>0</v>
      </c>
      <c r="BA73" s="272">
        <f>informatieblad!$B$4</f>
        <v>0</v>
      </c>
      <c r="BB73" s="264">
        <f>informatieblad!$B$4</f>
        <v>0</v>
      </c>
    </row>
    <row r="74" spans="1:54" ht="15.75" customHeight="1">
      <c r="A74" s="446"/>
      <c r="B74" s="102" t="str">
        <f>IF($C75&gt;0,IF(MAX(B73:C73)&lt;informatieblad!$Q$4,informatieblad!$P$3,IF(MAX(B73:C73)&gt;informatieblad!$R$4,informatieblad!$P$5,informatieblad!$P$4)),"")</f>
        <v/>
      </c>
      <c r="C74" s="102" t="str">
        <f>IF($C75&gt;0,IF(MAX(B73:C73)&lt;informatieblad!$Q$4,informatieblad!$P$3,IF(MAX(B73:C73)&gt;informatieblad!$R$4,informatieblad!$P$5,informatieblad!$P$4)),"")</f>
        <v/>
      </c>
      <c r="D74" s="88"/>
      <c r="E74" s="89" t="str">
        <f>A73&amp;"-"&amp;informatieblad!$B$12&amp;"-"&amp;B73&amp;"-"&amp;C73&amp;"-"&amp;D73&amp;"-"&amp;B74&amp;"-"&amp;C74&amp;"-"&amp;F75</f>
        <v>-RctD------Options None</v>
      </c>
      <c r="F74" s="90"/>
      <c r="G74" s="90"/>
      <c r="H74" s="91"/>
      <c r="M74" s="103">
        <f>A73</f>
        <v>0</v>
      </c>
      <c r="N74" s="104" t="s">
        <v>39</v>
      </c>
      <c r="O74" s="104" t="s">
        <v>39</v>
      </c>
      <c r="P74" s="104" t="s">
        <v>40</v>
      </c>
      <c r="Q74" s="104" t="s">
        <v>40</v>
      </c>
      <c r="R74" s="104" t="s">
        <v>40</v>
      </c>
      <c r="S74" s="105"/>
      <c r="T74" s="106" t="s">
        <v>27</v>
      </c>
      <c r="U74" s="106" t="s">
        <v>40</v>
      </c>
      <c r="V74" s="106" t="s">
        <v>41</v>
      </c>
      <c r="W74" s="104" t="s">
        <v>42</v>
      </c>
      <c r="X74" s="104" t="s">
        <v>43</v>
      </c>
      <c r="Y74" s="104"/>
      <c r="Z74" s="104" t="s">
        <v>44</v>
      </c>
      <c r="AA74" s="107"/>
      <c r="AB74" s="104" t="s">
        <v>45</v>
      </c>
      <c r="AC74" s="104" t="s">
        <v>42</v>
      </c>
      <c r="AD74" s="104" t="s">
        <v>43</v>
      </c>
      <c r="AE74" s="104" t="s">
        <v>46</v>
      </c>
      <c r="AF74" s="108"/>
      <c r="AG74" s="109"/>
      <c r="AI74" s="262" t="str">
        <f>informatieblad!$A$2</f>
        <v>FL20 loose</v>
      </c>
      <c r="AJ74" s="263"/>
      <c r="AK74" s="262" t="str">
        <f>informatieblad!$A$3</f>
        <v>FL30 loose</v>
      </c>
      <c r="AL74" s="105"/>
      <c r="AM74" s="263" t="str">
        <f>informatieblad!$A$4</f>
        <v>FL40 loose</v>
      </c>
      <c r="AN74" s="105"/>
      <c r="AO74" s="265"/>
      <c r="AP74" s="105"/>
      <c r="AR74" s="267"/>
      <c r="AT74" s="83" t="str">
        <f>'UC mounting materials '!$B$10</f>
        <v>Rail 30x15</v>
      </c>
      <c r="AU74" s="327">
        <f>IF(Z75&lt;1000,(Z75+100),0)*C75</f>
        <v>0</v>
      </c>
      <c r="AW74" s="265" t="s">
        <v>47</v>
      </c>
      <c r="AX74" s="106" t="s">
        <v>48</v>
      </c>
      <c r="AY74" s="83" t="s">
        <v>23</v>
      </c>
      <c r="AZ74" s="83" t="s">
        <v>23</v>
      </c>
      <c r="BA74" s="83" t="s">
        <v>23</v>
      </c>
      <c r="BB74" s="273" t="s">
        <v>23</v>
      </c>
    </row>
    <row r="75" spans="1:54" ht="15.75" thickBot="1">
      <c r="A75" s="447"/>
      <c r="B75" s="92" t="s">
        <v>23</v>
      </c>
      <c r="C75" s="110"/>
      <c r="D75" s="94">
        <f>C75*O75</f>
        <v>0</v>
      </c>
      <c r="E75" s="95" t="s">
        <v>24</v>
      </c>
      <c r="F75" s="451" t="s">
        <v>25</v>
      </c>
      <c r="G75" s="452"/>
      <c r="H75" s="453"/>
      <c r="M75" s="111"/>
      <c r="N75" s="112">
        <f>(((2*(B73+C73))*D73)/1000000)</f>
        <v>0</v>
      </c>
      <c r="O75" s="112">
        <f>((IF(N75&lt;=informatieblad!$I$12,informatieblad!$I$12,IF(N75&gt;=informatieblad!$I$12,N75))))</f>
        <v>0.5</v>
      </c>
      <c r="P75" s="112">
        <f>(((2*B73)+(2*C73))*D73)/1000000</f>
        <v>0</v>
      </c>
      <c r="Q75" s="112">
        <f>((IF(P75&lt;=informatieblad!$H$12,informatieblad!$H$12,IF(P75&gt;=informatieblad!$H$12,P75))))</f>
        <v>0</v>
      </c>
      <c r="R75" s="113">
        <f>((Q75*X75)+(Q75*U75))*C75</f>
        <v>0</v>
      </c>
      <c r="S75" s="114">
        <f>((O75*W75)+(O75*V75))*C75</f>
        <v>0</v>
      </c>
      <c r="T75" s="115" t="str">
        <f>F75</f>
        <v>Options None</v>
      </c>
      <c r="U75" s="116">
        <f>VLOOKUP(F75,informatieblad!$A$37:$D$41,2,FALSE)</f>
        <v>0</v>
      </c>
      <c r="V75" s="116">
        <f>VLOOKUP(F75,informatieblad!$A$37:$D$41,4,FALSE)</f>
        <v>0</v>
      </c>
      <c r="W75" s="117">
        <f>((IF(D73&lt;=900,AC75,IF(D73&gt;=900,AE75))))</f>
        <v>45.1248</v>
      </c>
      <c r="X75" s="118">
        <f>((IF(D73&lt;=900,AB75,IF(D73&gt;=900,AD75))))</f>
        <v>0</v>
      </c>
      <c r="Y75" s="119"/>
      <c r="Z75" s="119">
        <f>(MAX(B73:C73))</f>
        <v>0</v>
      </c>
      <c r="AA75" s="119">
        <f>LOOKUP(Z75,informatieblad!$C$27:$C$32,informatieblad!$A$27:$A$32)</f>
        <v>0.5</v>
      </c>
      <c r="AB75" s="118">
        <f>VLOOKUP(AA75,informatieblad!$A$27:$M$32,6,FALSE)</f>
        <v>0</v>
      </c>
      <c r="AC75" s="118">
        <f>VLOOKUP(AA75,informatieblad!$A$27:$M$32,8,FALSE)</f>
        <v>45.1248</v>
      </c>
      <c r="AD75" s="118">
        <f>VLOOKUP(AA75,informatieblad!$A$27:$M$32,9,FALSE)</f>
        <v>0</v>
      </c>
      <c r="AE75" s="118">
        <f>VLOOKUP(AA75,informatieblad!$A$27:$M$32,11,FALSE)</f>
        <v>32.463200000000001</v>
      </c>
      <c r="AF75" s="120">
        <f>VLOOKUP(AA75,informatieblad!$A$27:$M$32,13,FALSE)</f>
        <v>4</v>
      </c>
      <c r="AG75" s="121">
        <f>ROUND((AF75*P75),1)</f>
        <v>0</v>
      </c>
      <c r="AI75" s="111">
        <f>(IF(B74=AI73,((2*B73)+(2*C73)),IF(B74=AI74,((2*B73)+(2*C73)),0)))*C75</f>
        <v>0</v>
      </c>
      <c r="AJ75" s="261">
        <f>(IF(C74=AI73,((2*B73)+(2*C73)),IF(C74=AI74,((2*B73)+(2*C73)),0)))*C75</f>
        <v>0</v>
      </c>
      <c r="AK75" s="111">
        <f>(IF(B74=AK73,((2*B73)+(2*C73)),IF(B74=AK74,((2*B73)+(2*C73)),0)))*C75</f>
        <v>0</v>
      </c>
      <c r="AL75" s="260">
        <f>(IF(C74=AK73,((2*B73)+(2*C73)),IF(C74=AK74,((2*B73)+(2*C73)),0)))*C75</f>
        <v>0</v>
      </c>
      <c r="AM75" s="261">
        <f>(IF(B74=AM73,((2*B73)+(2*C73)),IF(B74=AM74,((2*B73)+(2*C73)),0)))*C75</f>
        <v>0</v>
      </c>
      <c r="AN75" s="260">
        <f>(IF(C74=AM73,((2*B73)+(2*C73)),IF(C74=AM74,((2*B73)+(2*C73)),0)))*C75</f>
        <v>0</v>
      </c>
      <c r="AO75" s="111">
        <f>(IF(B74=AO73,((2*B73)+(2*C73)),0))*C75</f>
        <v>0</v>
      </c>
      <c r="AP75" s="260">
        <f>(IF(C74=AO73,((2*B73)+(2*C73)),0))*C75</f>
        <v>0</v>
      </c>
      <c r="AR75" s="268">
        <f>D73*C75</f>
        <v>0</v>
      </c>
      <c r="AT75" s="83" t="str">
        <f>'UC mounting materials '!$B$11</f>
        <v>Rail 41x41</v>
      </c>
      <c r="AU75" s="268">
        <f>IF(Z75&gt;999,(Z75+100),0)*C75</f>
        <v>0</v>
      </c>
      <c r="AW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AX75" s="275" t="str">
        <f>IF(C74=informatieblad!$A$6,informatieblad!$B$6,IF(C74=informatieblad!$A$7,informatieblad!$B$7,IF(C74=informatieblad!$A$8,informatieblad!$B$8,IF(C74=informatieblad!$A$2,informatieblad!$B$2,IF(C74=informatieblad!$A$3,informatieblad!$B$3,IF(C74=informatieblad!$A$4,informatieblad!$B$4,IF(C74=informatieblad!$A$5,informatieblad!$B$5,"")))))))</f>
        <v/>
      </c>
      <c r="AY75" s="276">
        <f>IF(AW75=AY73,(4*C75),0)</f>
        <v>0</v>
      </c>
      <c r="AZ75" s="276">
        <f>IF(AX75=AY73,(4*C75),0)</f>
        <v>0</v>
      </c>
      <c r="BA75" s="276">
        <f>IF(AW75=BA73,(4*C75),0)</f>
        <v>0</v>
      </c>
      <c r="BB75" s="274">
        <f>IF(AX75=BA73,(4*C75),0)</f>
        <v>0</v>
      </c>
    </row>
    <row r="76" spans="1:54" ht="5.0999999999999996" customHeight="1" thickBot="1">
      <c r="A76" s="335"/>
      <c r="B76" s="88"/>
      <c r="C76" s="336"/>
      <c r="D76" s="337"/>
      <c r="E76" s="174"/>
      <c r="F76" s="336"/>
      <c r="G76" s="338"/>
      <c r="H76" s="338"/>
      <c r="M76" s="83"/>
      <c r="N76" s="142"/>
      <c r="O76" s="142"/>
      <c r="P76" s="142"/>
      <c r="Q76" s="142"/>
      <c r="R76" s="143"/>
      <c r="S76" s="143"/>
      <c r="T76" s="339"/>
      <c r="U76" s="340"/>
      <c r="V76" s="340"/>
      <c r="W76" s="341"/>
      <c r="X76" s="144"/>
      <c r="Y76" s="83"/>
      <c r="Z76" s="83"/>
      <c r="AA76" s="83"/>
      <c r="AB76" s="144"/>
      <c r="AC76" s="144"/>
      <c r="AD76" s="144"/>
      <c r="AE76" s="144"/>
      <c r="AF76" s="142"/>
      <c r="AG76" s="142"/>
      <c r="AT76" s="83"/>
      <c r="BB76" s="273"/>
    </row>
    <row r="77" spans="1:54" ht="15" customHeight="1" thickBot="1">
      <c r="A77" s="445"/>
      <c r="B77" s="96"/>
      <c r="C77" s="96"/>
      <c r="D77" s="96"/>
      <c r="E77" s="448"/>
      <c r="F77" s="449"/>
      <c r="G77" s="449"/>
      <c r="H77" s="450"/>
      <c r="I77" s="345" t="s">
        <v>20</v>
      </c>
      <c r="M77" s="97" t="s">
        <v>14</v>
      </c>
      <c r="N77" s="98" t="s">
        <v>27</v>
      </c>
      <c r="O77" s="98" t="s">
        <v>28</v>
      </c>
      <c r="P77" s="98" t="s">
        <v>27</v>
      </c>
      <c r="Q77" s="98" t="s">
        <v>28</v>
      </c>
      <c r="R77" s="98" t="s">
        <v>29</v>
      </c>
      <c r="S77" s="66" t="s">
        <v>30</v>
      </c>
      <c r="T77" s="99" t="s">
        <v>31</v>
      </c>
      <c r="U77" s="99"/>
      <c r="V77" s="99"/>
      <c r="W77" s="98" t="s">
        <v>32</v>
      </c>
      <c r="X77" s="98" t="s">
        <v>32</v>
      </c>
      <c r="Y77" s="98"/>
      <c r="Z77" s="98" t="s">
        <v>33</v>
      </c>
      <c r="AA77" s="100" t="s">
        <v>34</v>
      </c>
      <c r="AB77" s="98" t="s">
        <v>32</v>
      </c>
      <c r="AC77" s="98" t="s">
        <v>32</v>
      </c>
      <c r="AD77" s="98" t="s">
        <v>32</v>
      </c>
      <c r="AE77" s="98" t="s">
        <v>32</v>
      </c>
      <c r="AF77" s="98" t="s">
        <v>50</v>
      </c>
      <c r="AG77" s="101" t="s">
        <v>36</v>
      </c>
      <c r="AI77" s="97" t="str">
        <f>informatieblad!$A$6</f>
        <v>FL20</v>
      </c>
      <c r="AJ77" s="99"/>
      <c r="AK77" s="97" t="str">
        <f>informatieblad!$A$7</f>
        <v>FL30</v>
      </c>
      <c r="AL77" s="66"/>
      <c r="AM77" s="99" t="str">
        <f>informatieblad!$A$8</f>
        <v>FL40</v>
      </c>
      <c r="AN77" s="66"/>
      <c r="AO77" s="97" t="str">
        <f>informatieblad!$A$5</f>
        <v>none</v>
      </c>
      <c r="AP77" s="264"/>
      <c r="AR77" s="266" t="s">
        <v>17</v>
      </c>
      <c r="AT77" s="83"/>
      <c r="AU77" s="266" t="s">
        <v>37</v>
      </c>
      <c r="AW77" s="269" t="s">
        <v>38</v>
      </c>
      <c r="AX77" s="272"/>
      <c r="AY77" s="272">
        <f>informatieblad!$B$3</f>
        <v>0</v>
      </c>
      <c r="AZ77" s="272">
        <f>informatieblad!$B$3</f>
        <v>0</v>
      </c>
      <c r="BA77" s="272">
        <f>informatieblad!$B$4</f>
        <v>0</v>
      </c>
      <c r="BB77" s="264">
        <f>informatieblad!$B$4</f>
        <v>0</v>
      </c>
    </row>
    <row r="78" spans="1:54" ht="15" customHeight="1">
      <c r="A78" s="446"/>
      <c r="B78" s="102" t="str">
        <f>IF($C79&gt;0,IF(MAX(B77:C77)&lt;informatieblad!$Q$4,informatieblad!$P$3,IF(MAX(B77:C77)&gt;informatieblad!$R$4,informatieblad!$P$5,informatieblad!$P$4)),"")</f>
        <v/>
      </c>
      <c r="C78" s="102" t="str">
        <f>IF($C79&gt;0,IF(MAX(B77:C77)&lt;informatieblad!$Q$4,informatieblad!$P$3,IF(MAX(B77:C77)&gt;informatieblad!$R$4,informatieblad!$P$5,informatieblad!$P$4)),"")</f>
        <v/>
      </c>
      <c r="D78" s="88"/>
      <c r="E78" s="89" t="str">
        <f>A77&amp;"-"&amp;informatieblad!$B$12&amp;"-"&amp;B77&amp;"-"&amp;C77&amp;"-"&amp;D77&amp;"-"&amp;B78&amp;"-"&amp;C78&amp;"-"&amp;F79</f>
        <v>-RctD------Options None</v>
      </c>
      <c r="F78" s="90"/>
      <c r="G78" s="90"/>
      <c r="H78" s="91"/>
      <c r="M78" s="103">
        <f>A77</f>
        <v>0</v>
      </c>
      <c r="N78" s="104" t="s">
        <v>39</v>
      </c>
      <c r="O78" s="104" t="s">
        <v>39</v>
      </c>
      <c r="P78" s="104" t="s">
        <v>40</v>
      </c>
      <c r="Q78" s="104" t="s">
        <v>40</v>
      </c>
      <c r="R78" s="104" t="s">
        <v>40</v>
      </c>
      <c r="S78" s="105"/>
      <c r="T78" s="106" t="s">
        <v>27</v>
      </c>
      <c r="U78" s="106" t="s">
        <v>40</v>
      </c>
      <c r="V78" s="106" t="s">
        <v>41</v>
      </c>
      <c r="W78" s="104" t="s">
        <v>42</v>
      </c>
      <c r="X78" s="104" t="s">
        <v>43</v>
      </c>
      <c r="Y78" s="104"/>
      <c r="Z78" s="104" t="s">
        <v>44</v>
      </c>
      <c r="AA78" s="107"/>
      <c r="AB78" s="104" t="s">
        <v>45</v>
      </c>
      <c r="AC78" s="104" t="s">
        <v>42</v>
      </c>
      <c r="AD78" s="104" t="s">
        <v>43</v>
      </c>
      <c r="AE78" s="104" t="s">
        <v>46</v>
      </c>
      <c r="AF78" s="108"/>
      <c r="AG78" s="109"/>
      <c r="AI78" s="262" t="str">
        <f>informatieblad!$A$2</f>
        <v>FL20 loose</v>
      </c>
      <c r="AJ78" s="263"/>
      <c r="AK78" s="262" t="str">
        <f>informatieblad!$A$3</f>
        <v>FL30 loose</v>
      </c>
      <c r="AL78" s="105"/>
      <c r="AM78" s="263" t="str">
        <f>informatieblad!$A$4</f>
        <v>FL40 loose</v>
      </c>
      <c r="AN78" s="105"/>
      <c r="AO78" s="265"/>
      <c r="AP78" s="105"/>
      <c r="AR78" s="267"/>
      <c r="AT78" s="83" t="str">
        <f>'UC mounting materials '!$B$10</f>
        <v>Rail 30x15</v>
      </c>
      <c r="AU78" s="327">
        <f>IF(Z79&lt;1000,(Z79+100),0)*C79</f>
        <v>0</v>
      </c>
      <c r="AW78" s="265" t="s">
        <v>47</v>
      </c>
      <c r="AX78" s="106" t="s">
        <v>48</v>
      </c>
      <c r="AY78" s="83" t="s">
        <v>23</v>
      </c>
      <c r="AZ78" s="83" t="s">
        <v>23</v>
      </c>
      <c r="BA78" s="83" t="s">
        <v>23</v>
      </c>
      <c r="BB78" s="273" t="s">
        <v>23</v>
      </c>
    </row>
    <row r="79" spans="1:54" ht="15" customHeight="1" thickBot="1">
      <c r="A79" s="447"/>
      <c r="B79" s="92" t="s">
        <v>23</v>
      </c>
      <c r="C79" s="110"/>
      <c r="D79" s="94">
        <f>C79*O79</f>
        <v>0</v>
      </c>
      <c r="E79" s="95" t="s">
        <v>24</v>
      </c>
      <c r="F79" s="451" t="s">
        <v>25</v>
      </c>
      <c r="G79" s="452"/>
      <c r="H79" s="453"/>
      <c r="M79" s="111"/>
      <c r="N79" s="112">
        <f>(((2*(B77+C77))*D77)/1000000)</f>
        <v>0</v>
      </c>
      <c r="O79" s="112">
        <f>((IF(N79&lt;=informatieblad!$I$12,informatieblad!$I$12,IF(N79&gt;=informatieblad!$I$12,N79))))</f>
        <v>0.5</v>
      </c>
      <c r="P79" s="112">
        <f>(((2*B77)+(2*C77))*D77)/1000000</f>
        <v>0</v>
      </c>
      <c r="Q79" s="112">
        <f>((IF(P79&lt;=informatieblad!$H$12,informatieblad!$H$12,IF(P79&gt;=informatieblad!$H$12,P79))))</f>
        <v>0</v>
      </c>
      <c r="R79" s="113">
        <f>((Q79*X79)+(Q79*U79))*C79</f>
        <v>0</v>
      </c>
      <c r="S79" s="114">
        <f>((O79*W79)+(O79*V79))*C79</f>
        <v>0</v>
      </c>
      <c r="T79" s="115" t="str">
        <f>F79</f>
        <v>Options None</v>
      </c>
      <c r="U79" s="116">
        <f>VLOOKUP(F79,informatieblad!$A$37:$D$41,2,FALSE)</f>
        <v>0</v>
      </c>
      <c r="V79" s="116">
        <f>VLOOKUP(F79,informatieblad!$A$37:$D$41,4,FALSE)</f>
        <v>0</v>
      </c>
      <c r="W79" s="117">
        <f>((IF(D77&lt;=900,AC79,IF(D77&gt;=900,AE79))))</f>
        <v>45.1248</v>
      </c>
      <c r="X79" s="118">
        <f>((IF(D77&lt;=900,AB79,IF(D77&gt;=900,AD79))))</f>
        <v>0</v>
      </c>
      <c r="Y79" s="119"/>
      <c r="Z79" s="119">
        <f>(MAX(B77:C77))</f>
        <v>0</v>
      </c>
      <c r="AA79" s="119">
        <f>LOOKUP(Z79,informatieblad!$C$27:$C$32,informatieblad!$A$27:$A$32)</f>
        <v>0.5</v>
      </c>
      <c r="AB79" s="118">
        <f>VLOOKUP(AA79,informatieblad!$A$27:$M$32,6,FALSE)</f>
        <v>0</v>
      </c>
      <c r="AC79" s="118">
        <f>VLOOKUP(AA79,informatieblad!$A$27:$M$32,8,FALSE)</f>
        <v>45.1248</v>
      </c>
      <c r="AD79" s="118">
        <f>VLOOKUP(AA79,informatieblad!$A$27:$M$32,9,FALSE)</f>
        <v>0</v>
      </c>
      <c r="AE79" s="118">
        <f>VLOOKUP(AA79,informatieblad!$A$27:$M$32,11,FALSE)</f>
        <v>32.463200000000001</v>
      </c>
      <c r="AF79" s="120">
        <f>VLOOKUP(AA79,informatieblad!$A$27:$M$32,13,FALSE)</f>
        <v>4</v>
      </c>
      <c r="AG79" s="121">
        <f>ROUND((AF79*P79),1)</f>
        <v>0</v>
      </c>
      <c r="AI79" s="111">
        <f>(IF(B78=AI77,((2*B77)+(2*C77)),IF(B78=AI78,((2*B77)+(2*C77)),0)))*C79</f>
        <v>0</v>
      </c>
      <c r="AJ79" s="261">
        <f>(IF(C78=AI77,((2*B77)+(2*C77)),IF(C78=AI78,((2*B77)+(2*C77)),0)))*C79</f>
        <v>0</v>
      </c>
      <c r="AK79" s="111">
        <f>(IF(B78=AK77,((2*B77)+(2*C77)),IF(B78=AK78,((2*B77)+(2*C77)),0)))*C79</f>
        <v>0</v>
      </c>
      <c r="AL79" s="260">
        <f>(IF(C78=AK77,((2*B77)+(2*C77)),IF(C78=AK78,((2*B77)+(2*C77)),0)))*C79</f>
        <v>0</v>
      </c>
      <c r="AM79" s="261">
        <f>(IF(B78=AM77,((2*B77)+(2*C77)),IF(B78=AM78,((2*B77)+(2*C77)),0)))*C79</f>
        <v>0</v>
      </c>
      <c r="AN79" s="260">
        <f>(IF(C78=AM77,((2*B77)+(2*C77)),IF(C78=AM78,((2*B77)+(2*C77)),0)))*C79</f>
        <v>0</v>
      </c>
      <c r="AO79" s="111">
        <f>(IF(B78=AO77,((2*B77)+(2*C77)),0))*C79</f>
        <v>0</v>
      </c>
      <c r="AP79" s="260">
        <f>(IF(C78=AO77,((2*B77)+(2*C77)),0))*C79</f>
        <v>0</v>
      </c>
      <c r="AR79" s="268">
        <f>D77*C79</f>
        <v>0</v>
      </c>
      <c r="AT79" s="83" t="str">
        <f>'UC mounting materials '!$B$11</f>
        <v>Rail 41x41</v>
      </c>
      <c r="AU79" s="268">
        <f>IF(Z79&gt;999,(Z79+100),0)*C79</f>
        <v>0</v>
      </c>
      <c r="AW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AX79" s="275" t="str">
        <f>IF(C78=informatieblad!$A$6,informatieblad!$B$6,IF(C78=informatieblad!$A$7,informatieblad!$B$7,IF(C78=informatieblad!$A$8,informatieblad!$B$8,IF(C78=informatieblad!$A$2,informatieblad!$B$2,IF(C78=informatieblad!$A$3,informatieblad!$B$3,IF(C78=informatieblad!$A$4,informatieblad!$B$4,IF(C78=informatieblad!$A$5,informatieblad!$B$5,"")))))))</f>
        <v/>
      </c>
      <c r="AY79" s="276">
        <f>IF(AW79=AY77,(4*C79),0)</f>
        <v>0</v>
      </c>
      <c r="AZ79" s="276">
        <f>IF(AX79=AY77,(4*C79),0)</f>
        <v>0</v>
      </c>
      <c r="BA79" s="276">
        <f>IF(AW79=BA77,(4*C79),0)</f>
        <v>0</v>
      </c>
      <c r="BB79" s="274">
        <f>IF(AX79=BA77,(4*C79),0)</f>
        <v>0</v>
      </c>
    </row>
    <row r="80" spans="1:54" ht="5.0999999999999996" customHeight="1" thickBot="1">
      <c r="A80" s="335"/>
      <c r="B80" s="88"/>
      <c r="C80" s="336"/>
      <c r="D80" s="337"/>
      <c r="E80" s="174"/>
      <c r="F80" s="336"/>
      <c r="G80" s="338"/>
      <c r="H80" s="338"/>
      <c r="M80" s="83"/>
      <c r="N80" s="142"/>
      <c r="O80" s="142"/>
      <c r="P80" s="142"/>
      <c r="Q80" s="142"/>
      <c r="R80" s="143"/>
      <c r="S80" s="143"/>
      <c r="T80" s="339"/>
      <c r="U80" s="340"/>
      <c r="V80" s="340"/>
      <c r="W80" s="341"/>
      <c r="X80" s="144"/>
      <c r="Y80" s="83"/>
      <c r="Z80" s="83"/>
      <c r="AA80" s="83"/>
      <c r="AB80" s="144"/>
      <c r="AC80" s="144"/>
      <c r="AD80" s="144"/>
      <c r="AE80" s="144"/>
      <c r="AF80" s="142"/>
      <c r="AG80" s="142"/>
      <c r="AT80" s="83"/>
      <c r="BB80" s="273"/>
    </row>
    <row r="81" spans="1:54" ht="15" customHeight="1" thickBot="1">
      <c r="A81" s="445"/>
      <c r="B81" s="96"/>
      <c r="C81" s="96"/>
      <c r="D81" s="96"/>
      <c r="E81" s="448"/>
      <c r="F81" s="449"/>
      <c r="G81" s="449"/>
      <c r="H81" s="450"/>
      <c r="I81" s="345" t="s">
        <v>20</v>
      </c>
      <c r="M81" s="97" t="s">
        <v>14</v>
      </c>
      <c r="N81" s="98" t="s">
        <v>27</v>
      </c>
      <c r="O81" s="98" t="s">
        <v>28</v>
      </c>
      <c r="P81" s="98" t="s">
        <v>27</v>
      </c>
      <c r="Q81" s="98" t="s">
        <v>28</v>
      </c>
      <c r="R81" s="98" t="s">
        <v>29</v>
      </c>
      <c r="S81" s="66" t="s">
        <v>30</v>
      </c>
      <c r="T81" s="99" t="s">
        <v>31</v>
      </c>
      <c r="U81" s="99"/>
      <c r="V81" s="99"/>
      <c r="W81" s="98" t="s">
        <v>32</v>
      </c>
      <c r="X81" s="98" t="s">
        <v>32</v>
      </c>
      <c r="Y81" s="98"/>
      <c r="Z81" s="98" t="s">
        <v>33</v>
      </c>
      <c r="AA81" s="100" t="s">
        <v>34</v>
      </c>
      <c r="AB81" s="98" t="s">
        <v>32</v>
      </c>
      <c r="AC81" s="98" t="s">
        <v>32</v>
      </c>
      <c r="AD81" s="98" t="s">
        <v>32</v>
      </c>
      <c r="AE81" s="98" t="s">
        <v>32</v>
      </c>
      <c r="AF81" s="98" t="s">
        <v>51</v>
      </c>
      <c r="AG81" s="101" t="s">
        <v>36</v>
      </c>
      <c r="AI81" s="97" t="str">
        <f>informatieblad!$A$6</f>
        <v>FL20</v>
      </c>
      <c r="AJ81" s="99"/>
      <c r="AK81" s="97" t="str">
        <f>informatieblad!$A$7</f>
        <v>FL30</v>
      </c>
      <c r="AL81" s="66"/>
      <c r="AM81" s="99" t="str">
        <f>informatieblad!$A$8</f>
        <v>FL40</v>
      </c>
      <c r="AN81" s="66"/>
      <c r="AO81" s="97" t="str">
        <f>informatieblad!$A$5</f>
        <v>none</v>
      </c>
      <c r="AP81" s="264"/>
      <c r="AR81" s="266" t="s">
        <v>17</v>
      </c>
      <c r="AT81" s="83"/>
      <c r="AU81" s="266" t="s">
        <v>37</v>
      </c>
      <c r="AW81" s="269" t="s">
        <v>38</v>
      </c>
      <c r="AX81" s="272"/>
      <c r="AY81" s="272">
        <f>informatieblad!$B$3</f>
        <v>0</v>
      </c>
      <c r="AZ81" s="272">
        <f>informatieblad!$B$3</f>
        <v>0</v>
      </c>
      <c r="BA81" s="272">
        <f>informatieblad!$B$4</f>
        <v>0</v>
      </c>
      <c r="BB81" s="264">
        <f>informatieblad!$B$4</f>
        <v>0</v>
      </c>
    </row>
    <row r="82" spans="1:54" ht="15" customHeight="1">
      <c r="A82" s="446"/>
      <c r="B82" s="102" t="str">
        <f>IF($C83&gt;0,IF(MAX(B81:C81)&lt;informatieblad!$Q$4,informatieblad!$P$3,IF(MAX(B81:C81)&gt;informatieblad!$R$4,informatieblad!$P$5,informatieblad!$P$4)),"")</f>
        <v/>
      </c>
      <c r="C82" s="102" t="str">
        <f>IF($C83&gt;0,IF(MAX(B81:C81)&lt;informatieblad!$Q$4,informatieblad!$P$3,IF(MAX(B81:C81)&gt;informatieblad!$R$4,informatieblad!$P$5,informatieblad!$P$4)),"")</f>
        <v/>
      </c>
      <c r="D82" s="88"/>
      <c r="E82" s="89" t="str">
        <f>A81&amp;"-"&amp;informatieblad!$B$12&amp;"-"&amp;B81&amp;"-"&amp;C81&amp;"-"&amp;D81&amp;"-"&amp;B82&amp;"-"&amp;C82&amp;"-"&amp;F83</f>
        <v>-RctD------Options None</v>
      </c>
      <c r="F82" s="90"/>
      <c r="G82" s="90"/>
      <c r="H82" s="91"/>
      <c r="M82" s="103">
        <f>A81</f>
        <v>0</v>
      </c>
      <c r="N82" s="104" t="s">
        <v>39</v>
      </c>
      <c r="O82" s="104" t="s">
        <v>39</v>
      </c>
      <c r="P82" s="104" t="s">
        <v>40</v>
      </c>
      <c r="Q82" s="104" t="s">
        <v>40</v>
      </c>
      <c r="R82" s="104" t="s">
        <v>40</v>
      </c>
      <c r="S82" s="105"/>
      <c r="T82" s="106" t="s">
        <v>27</v>
      </c>
      <c r="U82" s="106" t="s">
        <v>40</v>
      </c>
      <c r="V82" s="106" t="s">
        <v>41</v>
      </c>
      <c r="W82" s="104" t="s">
        <v>42</v>
      </c>
      <c r="X82" s="104" t="s">
        <v>43</v>
      </c>
      <c r="Y82" s="104"/>
      <c r="Z82" s="104" t="s">
        <v>44</v>
      </c>
      <c r="AA82" s="107"/>
      <c r="AB82" s="104" t="s">
        <v>45</v>
      </c>
      <c r="AC82" s="104" t="s">
        <v>42</v>
      </c>
      <c r="AD82" s="104" t="s">
        <v>43</v>
      </c>
      <c r="AE82" s="104" t="s">
        <v>46</v>
      </c>
      <c r="AF82" s="108"/>
      <c r="AG82" s="109"/>
      <c r="AI82" s="262" t="str">
        <f>informatieblad!$A$2</f>
        <v>FL20 loose</v>
      </c>
      <c r="AJ82" s="263"/>
      <c r="AK82" s="262" t="str">
        <f>informatieblad!$A$3</f>
        <v>FL30 loose</v>
      </c>
      <c r="AL82" s="105"/>
      <c r="AM82" s="263" t="str">
        <f>informatieblad!$A$4</f>
        <v>FL40 loose</v>
      </c>
      <c r="AN82" s="105"/>
      <c r="AO82" s="265"/>
      <c r="AP82" s="105"/>
      <c r="AR82" s="267"/>
      <c r="AT82" s="83" t="str">
        <f>'UC mounting materials '!$B$10</f>
        <v>Rail 30x15</v>
      </c>
      <c r="AU82" s="327">
        <f>IF(Z83&lt;1000,(Z83+100),0)*C83</f>
        <v>0</v>
      </c>
      <c r="AW82" s="265" t="s">
        <v>47</v>
      </c>
      <c r="AX82" s="106" t="s">
        <v>48</v>
      </c>
      <c r="AY82" s="83" t="s">
        <v>23</v>
      </c>
      <c r="AZ82" s="83" t="s">
        <v>23</v>
      </c>
      <c r="BA82" s="83" t="s">
        <v>23</v>
      </c>
      <c r="BB82" s="273" t="s">
        <v>23</v>
      </c>
    </row>
    <row r="83" spans="1:54" ht="15" customHeight="1" thickBot="1">
      <c r="A83" s="447"/>
      <c r="B83" s="92" t="s">
        <v>23</v>
      </c>
      <c r="C83" s="110"/>
      <c r="D83" s="94">
        <f>C83*O83</f>
        <v>0</v>
      </c>
      <c r="E83" s="95" t="s">
        <v>24</v>
      </c>
      <c r="F83" s="451" t="s">
        <v>25</v>
      </c>
      <c r="G83" s="452"/>
      <c r="H83" s="453"/>
      <c r="M83" s="111"/>
      <c r="N83" s="112">
        <f>(((2*(B81+C81))*D81)/1000000)</f>
        <v>0</v>
      </c>
      <c r="O83" s="112">
        <f>((IF(N83&lt;=informatieblad!$I$12,informatieblad!$I$12,IF(N83&gt;=informatieblad!$I$12,N83))))</f>
        <v>0.5</v>
      </c>
      <c r="P83" s="112">
        <f>(((2*B81)+(2*C81))*D81)/1000000</f>
        <v>0</v>
      </c>
      <c r="Q83" s="112">
        <f>((IF(P83&lt;=informatieblad!$H$12,informatieblad!$H$12,IF(P83&gt;=informatieblad!$H$12,P83))))</f>
        <v>0</v>
      </c>
      <c r="R83" s="113">
        <f>((Q83*X83)+(Q83*U83))*C83</f>
        <v>0</v>
      </c>
      <c r="S83" s="114">
        <f>((O83*W83)+(O83*V83))*C83</f>
        <v>0</v>
      </c>
      <c r="T83" s="115" t="str">
        <f>F83</f>
        <v>Options None</v>
      </c>
      <c r="U83" s="116">
        <f>VLOOKUP(F83,informatieblad!$A$37:$D$41,2,FALSE)</f>
        <v>0</v>
      </c>
      <c r="V83" s="116">
        <f>VLOOKUP(F83,informatieblad!$A$37:$D$41,4,FALSE)</f>
        <v>0</v>
      </c>
      <c r="W83" s="117">
        <f>((IF(D81&lt;=900,AC83,IF(D81&gt;=900,AE83))))</f>
        <v>45.1248</v>
      </c>
      <c r="X83" s="118">
        <f>((IF(D81&lt;=900,AB83,IF(D81&gt;=900,AD83))))</f>
        <v>0</v>
      </c>
      <c r="Y83" s="119"/>
      <c r="Z83" s="119">
        <f>(MAX(B81:C81))</f>
        <v>0</v>
      </c>
      <c r="AA83" s="119">
        <f>LOOKUP(Z83,informatieblad!$C$27:$C$32,informatieblad!$A$27:$A$32)</f>
        <v>0.5</v>
      </c>
      <c r="AB83" s="118">
        <f>VLOOKUP(AA83,informatieblad!$A$27:$M$32,6,FALSE)</f>
        <v>0</v>
      </c>
      <c r="AC83" s="118">
        <f>VLOOKUP(AA83,informatieblad!$A$27:$M$32,8,FALSE)</f>
        <v>45.1248</v>
      </c>
      <c r="AD83" s="118">
        <f>VLOOKUP(AA83,informatieblad!$A$27:$M$32,9,FALSE)</f>
        <v>0</v>
      </c>
      <c r="AE83" s="118">
        <f>VLOOKUP(AA83,informatieblad!$A$27:$M$32,11,FALSE)</f>
        <v>32.463200000000001</v>
      </c>
      <c r="AF83" s="120">
        <f>VLOOKUP(AA83,informatieblad!$A$27:$M$32,13,FALSE)</f>
        <v>4</v>
      </c>
      <c r="AG83" s="121">
        <f>ROUND((AF83*P83),1)</f>
        <v>0</v>
      </c>
      <c r="AI83" s="111">
        <f>(IF(B82=AI81,((2*B81)+(2*C81)),IF(B82=AI82,((2*B81)+(2*C81)),0)))*C83</f>
        <v>0</v>
      </c>
      <c r="AJ83" s="261">
        <f>(IF(C82=AI81,((2*B81)+(2*C81)),IF(C82=AI82,((2*B81)+(2*C81)),0)))*C83</f>
        <v>0</v>
      </c>
      <c r="AK83" s="111">
        <f>(IF(B82=AK81,((2*B81)+(2*C81)),IF(B82=AK82,((2*B81)+(2*C81)),0)))*C83</f>
        <v>0</v>
      </c>
      <c r="AL83" s="260">
        <f>(IF(C82=AK81,((2*B81)+(2*C81)),IF(C82=AK82,((2*B81)+(2*C81)),0)))*C83</f>
        <v>0</v>
      </c>
      <c r="AM83" s="261">
        <f>(IF(B82=AM81,((2*B81)+(2*C81)),IF(B82=AM82,((2*B81)+(2*C81)),0)))*C83</f>
        <v>0</v>
      </c>
      <c r="AN83" s="260">
        <f>(IF(C82=AM81,((2*B81)+(2*C81)),IF(C82=AM82,((2*B81)+(2*C81)),0)))*C83</f>
        <v>0</v>
      </c>
      <c r="AO83" s="111">
        <f>(IF(B82=AO81,((2*B81)+(2*C81)),0))*C83</f>
        <v>0</v>
      </c>
      <c r="AP83" s="260">
        <f>(IF(C82=AO81,((2*B81)+(2*C81)),0))*C83</f>
        <v>0</v>
      </c>
      <c r="AR83" s="268">
        <f>D81*C83</f>
        <v>0</v>
      </c>
      <c r="AT83" s="83" t="str">
        <f>'UC mounting materials '!$B$11</f>
        <v>Rail 41x41</v>
      </c>
      <c r="AU83" s="268">
        <f>IF(Z83&gt;999,(Z83+100),0)*C83</f>
        <v>0</v>
      </c>
      <c r="AW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AX83" s="275" t="str">
        <f>IF(C82=informatieblad!$A$6,informatieblad!$B$6,IF(C82=informatieblad!$A$7,informatieblad!$B$7,IF(C82=informatieblad!$A$8,informatieblad!$B$8,IF(C82=informatieblad!$A$2,informatieblad!$B$2,IF(C82=informatieblad!$A$3,informatieblad!$B$3,IF(C82=informatieblad!$A$4,informatieblad!$B$4,IF(C82=informatieblad!$A$5,informatieblad!$B$5,"")))))))</f>
        <v/>
      </c>
      <c r="AY83" s="276">
        <f>IF(AW83=AY81,(4*C83),0)</f>
        <v>0</v>
      </c>
      <c r="AZ83" s="276">
        <f>IF(AX83=AY81,(4*C83),0)</f>
        <v>0</v>
      </c>
      <c r="BA83" s="276">
        <f>IF(AW83=BA81,(4*C83),0)</f>
        <v>0</v>
      </c>
      <c r="BB83" s="274">
        <f>IF(AX83=BA81,(4*C83),0)</f>
        <v>0</v>
      </c>
    </row>
    <row r="84" spans="1:54" ht="5.0999999999999996" customHeight="1" thickBot="1">
      <c r="A84" s="335"/>
      <c r="B84" s="88"/>
      <c r="C84" s="336"/>
      <c r="D84" s="337"/>
      <c r="E84" s="174"/>
      <c r="F84" s="336"/>
      <c r="G84" s="338"/>
      <c r="H84" s="338"/>
      <c r="M84" s="83"/>
      <c r="N84" s="142"/>
      <c r="O84" s="142"/>
      <c r="P84" s="142"/>
      <c r="Q84" s="142"/>
      <c r="R84" s="143"/>
      <c r="S84" s="143"/>
      <c r="T84" s="339"/>
      <c r="U84" s="340"/>
      <c r="V84" s="340"/>
      <c r="W84" s="341"/>
      <c r="X84" s="144"/>
      <c r="Y84" s="83"/>
      <c r="Z84" s="83"/>
      <c r="AA84" s="83"/>
      <c r="AB84" s="144"/>
      <c r="AC84" s="144"/>
      <c r="AD84" s="144"/>
      <c r="AE84" s="144"/>
      <c r="AF84" s="142"/>
      <c r="AG84" s="142"/>
      <c r="AT84" s="83"/>
      <c r="BB84" s="273"/>
    </row>
    <row r="85" spans="1:54" ht="15" customHeight="1" thickBot="1">
      <c r="A85" s="445"/>
      <c r="B85" s="96"/>
      <c r="C85" s="96"/>
      <c r="D85" s="96"/>
      <c r="E85" s="448"/>
      <c r="F85" s="449"/>
      <c r="G85" s="449"/>
      <c r="H85" s="450"/>
      <c r="I85" s="345" t="s">
        <v>20</v>
      </c>
      <c r="M85" s="97" t="s">
        <v>14</v>
      </c>
      <c r="N85" s="98" t="s">
        <v>27</v>
      </c>
      <c r="O85" s="98" t="s">
        <v>28</v>
      </c>
      <c r="P85" s="98" t="s">
        <v>27</v>
      </c>
      <c r="Q85" s="98" t="s">
        <v>28</v>
      </c>
      <c r="R85" s="98" t="s">
        <v>29</v>
      </c>
      <c r="S85" s="66" t="s">
        <v>30</v>
      </c>
      <c r="T85" s="99" t="s">
        <v>31</v>
      </c>
      <c r="U85" s="99"/>
      <c r="V85" s="99"/>
      <c r="W85" s="98" t="s">
        <v>32</v>
      </c>
      <c r="X85" s="98" t="s">
        <v>32</v>
      </c>
      <c r="Y85" s="98"/>
      <c r="Z85" s="98" t="s">
        <v>33</v>
      </c>
      <c r="AA85" s="100" t="s">
        <v>34</v>
      </c>
      <c r="AB85" s="98" t="s">
        <v>32</v>
      </c>
      <c r="AC85" s="98" t="s">
        <v>32</v>
      </c>
      <c r="AD85" s="98" t="s">
        <v>32</v>
      </c>
      <c r="AE85" s="98" t="s">
        <v>32</v>
      </c>
      <c r="AF85" s="98" t="s">
        <v>52</v>
      </c>
      <c r="AG85" s="101" t="s">
        <v>36</v>
      </c>
      <c r="AI85" s="97" t="str">
        <f>informatieblad!$A$6</f>
        <v>FL20</v>
      </c>
      <c r="AJ85" s="99"/>
      <c r="AK85" s="97" t="str">
        <f>informatieblad!$A$7</f>
        <v>FL30</v>
      </c>
      <c r="AL85" s="66"/>
      <c r="AM85" s="99" t="str">
        <f>informatieblad!$A$8</f>
        <v>FL40</v>
      </c>
      <c r="AN85" s="66"/>
      <c r="AO85" s="97" t="str">
        <f>informatieblad!$A$5</f>
        <v>none</v>
      </c>
      <c r="AP85" s="264"/>
      <c r="AR85" s="266" t="s">
        <v>17</v>
      </c>
      <c r="AT85" s="83"/>
      <c r="AU85" s="266" t="s">
        <v>37</v>
      </c>
      <c r="AW85" s="269" t="s">
        <v>38</v>
      </c>
      <c r="AX85" s="272"/>
      <c r="AY85" s="272">
        <f>informatieblad!$B$3</f>
        <v>0</v>
      </c>
      <c r="AZ85" s="272">
        <f>informatieblad!$B$3</f>
        <v>0</v>
      </c>
      <c r="BA85" s="272">
        <f>informatieblad!$B$4</f>
        <v>0</v>
      </c>
      <c r="BB85" s="264">
        <f>informatieblad!$B$4</f>
        <v>0</v>
      </c>
    </row>
    <row r="86" spans="1:54" ht="15" customHeight="1">
      <c r="A86" s="446"/>
      <c r="B86" s="102" t="str">
        <f>IF($C87&gt;0,IF(MAX(B85:C85)&lt;informatieblad!$Q$4,informatieblad!$P$3,IF(MAX(B85:C85)&gt;informatieblad!$R$4,informatieblad!$P$5,informatieblad!$P$4)),"")</f>
        <v/>
      </c>
      <c r="C86" s="102" t="str">
        <f>IF($C87&gt;0,IF(MAX(B85:C85)&lt;informatieblad!$Q$4,informatieblad!$P$3,IF(MAX(B85:C85)&gt;informatieblad!$R$4,informatieblad!$P$5,informatieblad!$P$4)),"")</f>
        <v/>
      </c>
      <c r="D86" s="88"/>
      <c r="E86" s="89" t="str">
        <f>A85&amp;"-"&amp;informatieblad!$B$12&amp;"-"&amp;B85&amp;"-"&amp;C85&amp;"-"&amp;D85&amp;"-"&amp;B86&amp;"-"&amp;C86&amp;"-"&amp;F87</f>
        <v>-RctD------Options None</v>
      </c>
      <c r="F86" s="90"/>
      <c r="G86" s="90"/>
      <c r="H86" s="91"/>
      <c r="M86" s="103">
        <f>A85</f>
        <v>0</v>
      </c>
      <c r="N86" s="104" t="s">
        <v>39</v>
      </c>
      <c r="O86" s="104" t="s">
        <v>39</v>
      </c>
      <c r="P86" s="104" t="s">
        <v>40</v>
      </c>
      <c r="Q86" s="104" t="s">
        <v>40</v>
      </c>
      <c r="R86" s="104" t="s">
        <v>40</v>
      </c>
      <c r="S86" s="105"/>
      <c r="T86" s="106" t="s">
        <v>27</v>
      </c>
      <c r="U86" s="106" t="s">
        <v>40</v>
      </c>
      <c r="V86" s="106" t="s">
        <v>41</v>
      </c>
      <c r="W86" s="104" t="s">
        <v>42</v>
      </c>
      <c r="X86" s="104" t="s">
        <v>43</v>
      </c>
      <c r="Y86" s="104"/>
      <c r="Z86" s="104" t="s">
        <v>44</v>
      </c>
      <c r="AA86" s="107"/>
      <c r="AB86" s="104" t="s">
        <v>45</v>
      </c>
      <c r="AC86" s="104" t="s">
        <v>42</v>
      </c>
      <c r="AD86" s="104" t="s">
        <v>43</v>
      </c>
      <c r="AE86" s="104" t="s">
        <v>46</v>
      </c>
      <c r="AF86" s="108"/>
      <c r="AG86" s="109"/>
      <c r="AI86" s="262" t="str">
        <f>informatieblad!$A$2</f>
        <v>FL20 loose</v>
      </c>
      <c r="AJ86" s="263"/>
      <c r="AK86" s="262" t="str">
        <f>informatieblad!$A$3</f>
        <v>FL30 loose</v>
      </c>
      <c r="AL86" s="105"/>
      <c r="AM86" s="263" t="str">
        <f>informatieblad!$A$4</f>
        <v>FL40 loose</v>
      </c>
      <c r="AN86" s="105"/>
      <c r="AO86" s="265"/>
      <c r="AP86" s="105"/>
      <c r="AR86" s="267"/>
      <c r="AT86" s="83" t="str">
        <f>'UC mounting materials '!$B$10</f>
        <v>Rail 30x15</v>
      </c>
      <c r="AU86" s="327">
        <f>IF(Z87&lt;1000,(Z87+100),0)*C87</f>
        <v>0</v>
      </c>
      <c r="AW86" s="265" t="s">
        <v>47</v>
      </c>
      <c r="AX86" s="106" t="s">
        <v>48</v>
      </c>
      <c r="AY86" s="83" t="s">
        <v>23</v>
      </c>
      <c r="AZ86" s="83" t="s">
        <v>23</v>
      </c>
      <c r="BA86" s="83" t="s">
        <v>23</v>
      </c>
      <c r="BB86" s="273" t="s">
        <v>23</v>
      </c>
    </row>
    <row r="87" spans="1:54" ht="15" customHeight="1" thickBot="1">
      <c r="A87" s="447"/>
      <c r="B87" s="92" t="s">
        <v>23</v>
      </c>
      <c r="C87" s="110"/>
      <c r="D87" s="94">
        <f>C87*O87</f>
        <v>0</v>
      </c>
      <c r="E87" s="95" t="s">
        <v>24</v>
      </c>
      <c r="F87" s="451" t="s">
        <v>25</v>
      </c>
      <c r="G87" s="452"/>
      <c r="H87" s="453"/>
      <c r="M87" s="111"/>
      <c r="N87" s="112">
        <f>(((2*(B85+C85))*D85)/1000000)</f>
        <v>0</v>
      </c>
      <c r="O87" s="112">
        <f>((IF(N87&lt;=informatieblad!$I$12,informatieblad!$I$12,IF(N87&gt;=informatieblad!$I$12,N87))))</f>
        <v>0.5</v>
      </c>
      <c r="P87" s="112">
        <f>(((2*B85)+(2*C85))*D85)/1000000</f>
        <v>0</v>
      </c>
      <c r="Q87" s="112">
        <f>((IF(P87&lt;=informatieblad!$H$12,informatieblad!$H$12,IF(P87&gt;=informatieblad!$H$12,P87))))</f>
        <v>0</v>
      </c>
      <c r="R87" s="113">
        <f>((Q87*X87)+(Q87*U87))*C87</f>
        <v>0</v>
      </c>
      <c r="S87" s="114">
        <f>((O87*W87)+(O87*V87))*C87</f>
        <v>0</v>
      </c>
      <c r="T87" s="115" t="str">
        <f>F87</f>
        <v>Options None</v>
      </c>
      <c r="U87" s="116">
        <f>VLOOKUP(F87,informatieblad!$A$37:$D$41,2,FALSE)</f>
        <v>0</v>
      </c>
      <c r="V87" s="116">
        <f>VLOOKUP(F87,informatieblad!$A$37:$D$41,4,FALSE)</f>
        <v>0</v>
      </c>
      <c r="W87" s="117">
        <f>((IF(D85&lt;=900,AC87,IF(D85&gt;=900,AE87))))</f>
        <v>45.1248</v>
      </c>
      <c r="X87" s="118">
        <f>((IF(D85&lt;=900,AB87,IF(D85&gt;=900,AD87))))</f>
        <v>0</v>
      </c>
      <c r="Y87" s="119"/>
      <c r="Z87" s="119">
        <f>(MAX(B85:C85))</f>
        <v>0</v>
      </c>
      <c r="AA87" s="119">
        <f>LOOKUP(Z87,informatieblad!$C$27:$C$32,informatieblad!$A$27:$A$32)</f>
        <v>0.5</v>
      </c>
      <c r="AB87" s="118">
        <f>VLOOKUP(AA87,informatieblad!$A$27:$M$32,6,FALSE)</f>
        <v>0</v>
      </c>
      <c r="AC87" s="118">
        <f>VLOOKUP(AA87,informatieblad!$A$27:$M$32,8,FALSE)</f>
        <v>45.1248</v>
      </c>
      <c r="AD87" s="118">
        <f>VLOOKUP(AA87,informatieblad!$A$27:$M$32,9,FALSE)</f>
        <v>0</v>
      </c>
      <c r="AE87" s="118">
        <f>VLOOKUP(AA87,informatieblad!$A$27:$M$32,11,FALSE)</f>
        <v>32.463200000000001</v>
      </c>
      <c r="AF87" s="120">
        <f>VLOOKUP(AA87,informatieblad!$A$27:$M$32,13,FALSE)</f>
        <v>4</v>
      </c>
      <c r="AG87" s="121">
        <f>ROUND((AF87*P87),1)</f>
        <v>0</v>
      </c>
      <c r="AI87" s="111">
        <f>(IF(B86=AI85,((2*B85)+(2*C85)),IF(B86=AI86,((2*B85)+(2*C85)),0)))*C87</f>
        <v>0</v>
      </c>
      <c r="AJ87" s="261">
        <f>(IF(C86=AI85,((2*B85)+(2*C85)),IF(C86=AI86,((2*B85)+(2*C85)),0)))*C87</f>
        <v>0</v>
      </c>
      <c r="AK87" s="111">
        <f>(IF(B86=AK85,((2*B85)+(2*C85)),IF(B86=AK86,((2*B85)+(2*C85)),0)))*C87</f>
        <v>0</v>
      </c>
      <c r="AL87" s="260">
        <f>(IF(C86=AK85,((2*B85)+(2*C85)),IF(C86=AK86,((2*B85)+(2*C85)),0)))*C87</f>
        <v>0</v>
      </c>
      <c r="AM87" s="261">
        <f>(IF(B86=AM85,((2*B85)+(2*C85)),IF(B86=AM86,((2*B85)+(2*C85)),0)))*C87</f>
        <v>0</v>
      </c>
      <c r="AN87" s="260">
        <f>(IF(C86=AM85,((2*B85)+(2*C85)),IF(C86=AM86,((2*B85)+(2*C85)),0)))*C87</f>
        <v>0</v>
      </c>
      <c r="AO87" s="111">
        <f>(IF(B86=AO85,((2*B85)+(2*C85)),0))*C87</f>
        <v>0</v>
      </c>
      <c r="AP87" s="260">
        <f>(IF(C86=AO85,((2*B85)+(2*C85)),0))*C87</f>
        <v>0</v>
      </c>
      <c r="AR87" s="268">
        <f>D85*C87</f>
        <v>0</v>
      </c>
      <c r="AT87" s="83" t="str">
        <f>'UC mounting materials '!$B$11</f>
        <v>Rail 41x41</v>
      </c>
      <c r="AU87" s="268">
        <f>IF(Z87&gt;999,(Z87+100),0)*C87</f>
        <v>0</v>
      </c>
      <c r="AW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AX87" s="275" t="str">
        <f>IF(C86=informatieblad!$A$6,informatieblad!$B$6,IF(C86=informatieblad!$A$7,informatieblad!$B$7,IF(C86=informatieblad!$A$8,informatieblad!$B$8,IF(C86=informatieblad!$A$2,informatieblad!$B$2,IF(C86=informatieblad!$A$3,informatieblad!$B$3,IF(C86=informatieblad!$A$4,informatieblad!$B$4,IF(C86=informatieblad!$A$5,informatieblad!$B$5,"")))))))</f>
        <v/>
      </c>
      <c r="AY87" s="276">
        <f>IF(AW87=AY85,(4*C87),0)</f>
        <v>0</v>
      </c>
      <c r="AZ87" s="276">
        <f>IF(AX87=AY85,(4*C87),0)</f>
        <v>0</v>
      </c>
      <c r="BA87" s="276">
        <f>IF(AW87=BA85,(4*C87),0)</f>
        <v>0</v>
      </c>
      <c r="BB87" s="274">
        <f>IF(AX87=BA85,(4*C87),0)</f>
        <v>0</v>
      </c>
    </row>
    <row r="88" spans="1:54" ht="5.0999999999999996" customHeight="1" thickBot="1">
      <c r="A88" s="335"/>
      <c r="B88" s="88"/>
      <c r="C88" s="336"/>
      <c r="D88" s="337"/>
      <c r="E88" s="174"/>
      <c r="F88" s="336"/>
      <c r="G88" s="338"/>
      <c r="H88" s="338"/>
      <c r="M88" s="83"/>
      <c r="N88" s="142"/>
      <c r="O88" s="142"/>
      <c r="P88" s="142"/>
      <c r="Q88" s="142"/>
      <c r="R88" s="143"/>
      <c r="S88" s="143"/>
      <c r="T88" s="339"/>
      <c r="U88" s="340"/>
      <c r="V88" s="340"/>
      <c r="W88" s="341"/>
      <c r="X88" s="144"/>
      <c r="Y88" s="83"/>
      <c r="Z88" s="83"/>
      <c r="AA88" s="83"/>
      <c r="AB88" s="144"/>
      <c r="AC88" s="144"/>
      <c r="AD88" s="144"/>
      <c r="AE88" s="144"/>
      <c r="AF88" s="142"/>
      <c r="AG88" s="142"/>
      <c r="AT88" s="83"/>
      <c r="BB88" s="273"/>
    </row>
    <row r="89" spans="1:54" ht="14.25" customHeight="1" thickBot="1">
      <c r="A89" s="445"/>
      <c r="B89" s="96"/>
      <c r="C89" s="96"/>
      <c r="D89" s="96"/>
      <c r="E89" s="448"/>
      <c r="F89" s="449"/>
      <c r="G89" s="449"/>
      <c r="H89" s="450"/>
      <c r="I89" s="345" t="s">
        <v>20</v>
      </c>
      <c r="M89" s="97" t="s">
        <v>14</v>
      </c>
      <c r="N89" s="98" t="s">
        <v>27</v>
      </c>
      <c r="O89" s="98" t="s">
        <v>28</v>
      </c>
      <c r="P89" s="98" t="s">
        <v>27</v>
      </c>
      <c r="Q89" s="98" t="s">
        <v>28</v>
      </c>
      <c r="R89" s="98" t="s">
        <v>29</v>
      </c>
      <c r="S89" s="66" t="s">
        <v>30</v>
      </c>
      <c r="T89" s="99" t="s">
        <v>31</v>
      </c>
      <c r="U89" s="99"/>
      <c r="V89" s="99"/>
      <c r="W89" s="98" t="s">
        <v>32</v>
      </c>
      <c r="X89" s="98" t="s">
        <v>32</v>
      </c>
      <c r="Y89" s="98"/>
      <c r="Z89" s="98" t="s">
        <v>33</v>
      </c>
      <c r="AA89" s="100" t="s">
        <v>34</v>
      </c>
      <c r="AB89" s="98" t="s">
        <v>32</v>
      </c>
      <c r="AC89" s="98" t="s">
        <v>32</v>
      </c>
      <c r="AD89" s="98" t="s">
        <v>32</v>
      </c>
      <c r="AE89" s="98" t="s">
        <v>32</v>
      </c>
      <c r="AF89" s="98" t="s">
        <v>53</v>
      </c>
      <c r="AG89" s="101" t="s">
        <v>36</v>
      </c>
      <c r="AI89" s="97" t="str">
        <f>informatieblad!$A$6</f>
        <v>FL20</v>
      </c>
      <c r="AJ89" s="99"/>
      <c r="AK89" s="97" t="str">
        <f>informatieblad!$A$7</f>
        <v>FL30</v>
      </c>
      <c r="AL89" s="66"/>
      <c r="AM89" s="99" t="str">
        <f>informatieblad!$A$8</f>
        <v>FL40</v>
      </c>
      <c r="AN89" s="66"/>
      <c r="AO89" s="97" t="str">
        <f>informatieblad!$A$5</f>
        <v>none</v>
      </c>
      <c r="AP89" s="264"/>
      <c r="AR89" s="266" t="s">
        <v>17</v>
      </c>
      <c r="AT89" s="83"/>
      <c r="AU89" s="266" t="s">
        <v>37</v>
      </c>
      <c r="AW89" s="269" t="s">
        <v>38</v>
      </c>
      <c r="AX89" s="272"/>
      <c r="AY89" s="272">
        <f>informatieblad!$B$3</f>
        <v>0</v>
      </c>
      <c r="AZ89" s="272">
        <f>informatieblad!$B$3</f>
        <v>0</v>
      </c>
      <c r="BA89" s="272">
        <f>informatieblad!$B$4</f>
        <v>0</v>
      </c>
      <c r="BB89" s="264">
        <f>informatieblad!$B$4</f>
        <v>0</v>
      </c>
    </row>
    <row r="90" spans="1:54" ht="14.25" customHeight="1">
      <c r="A90" s="446"/>
      <c r="B90" s="102" t="str">
        <f>IF($C91&gt;0,IF(MAX(B89:C89)&lt;informatieblad!$Q$4,informatieblad!$P$3,IF(MAX(B89:C89)&gt;informatieblad!$R$4,informatieblad!$P$5,informatieblad!$P$4)),"")</f>
        <v/>
      </c>
      <c r="C90" s="102" t="str">
        <f>IF($C91&gt;0,IF(MAX(B89:C89)&lt;informatieblad!$Q$4,informatieblad!$P$3,IF(MAX(B89:C89)&gt;informatieblad!$R$4,informatieblad!$P$5,informatieblad!$P$4)),"")</f>
        <v/>
      </c>
      <c r="D90" s="88"/>
      <c r="E90" s="89" t="str">
        <f>A89&amp;"-"&amp;informatieblad!$B$12&amp;"-"&amp;B89&amp;"-"&amp;C89&amp;"-"&amp;D89&amp;"-"&amp;B90&amp;"-"&amp;C90&amp;"-"&amp;F91</f>
        <v>-RctD------Options None</v>
      </c>
      <c r="F90" s="90"/>
      <c r="G90" s="90"/>
      <c r="H90" s="91"/>
      <c r="M90" s="103">
        <f>A89</f>
        <v>0</v>
      </c>
      <c r="N90" s="104" t="s">
        <v>39</v>
      </c>
      <c r="O90" s="104" t="s">
        <v>39</v>
      </c>
      <c r="P90" s="104" t="s">
        <v>40</v>
      </c>
      <c r="Q90" s="104" t="s">
        <v>40</v>
      </c>
      <c r="R90" s="104" t="s">
        <v>40</v>
      </c>
      <c r="S90" s="105"/>
      <c r="T90" s="106" t="s">
        <v>27</v>
      </c>
      <c r="U90" s="106" t="s">
        <v>40</v>
      </c>
      <c r="V90" s="106" t="s">
        <v>41</v>
      </c>
      <c r="W90" s="104" t="s">
        <v>42</v>
      </c>
      <c r="X90" s="104" t="s">
        <v>43</v>
      </c>
      <c r="Y90" s="104"/>
      <c r="Z90" s="104" t="s">
        <v>44</v>
      </c>
      <c r="AA90" s="107"/>
      <c r="AB90" s="104" t="s">
        <v>45</v>
      </c>
      <c r="AC90" s="104" t="s">
        <v>42</v>
      </c>
      <c r="AD90" s="104" t="s">
        <v>43</v>
      </c>
      <c r="AE90" s="104" t="s">
        <v>46</v>
      </c>
      <c r="AF90" s="108"/>
      <c r="AG90" s="109"/>
      <c r="AI90" s="262" t="str">
        <f>informatieblad!$A$2</f>
        <v>FL20 loose</v>
      </c>
      <c r="AJ90" s="263"/>
      <c r="AK90" s="262" t="str">
        <f>informatieblad!$A$3</f>
        <v>FL30 loose</v>
      </c>
      <c r="AL90" s="105"/>
      <c r="AM90" s="263" t="str">
        <f>informatieblad!$A$4</f>
        <v>FL40 loose</v>
      </c>
      <c r="AN90" s="105"/>
      <c r="AO90" s="265"/>
      <c r="AP90" s="105"/>
      <c r="AR90" s="267"/>
      <c r="AT90" s="83" t="str">
        <f>'UC mounting materials '!$B$10</f>
        <v>Rail 30x15</v>
      </c>
      <c r="AU90" s="327">
        <f>IF(Z91&lt;1000,(Z91+100),0)*C91</f>
        <v>0</v>
      </c>
      <c r="AW90" s="265" t="s">
        <v>47</v>
      </c>
      <c r="AX90" s="106" t="s">
        <v>48</v>
      </c>
      <c r="AY90" s="83" t="s">
        <v>23</v>
      </c>
      <c r="AZ90" s="83" t="s">
        <v>23</v>
      </c>
      <c r="BA90" s="83" t="s">
        <v>23</v>
      </c>
      <c r="BB90" s="273" t="s">
        <v>23</v>
      </c>
    </row>
    <row r="91" spans="1:54" ht="14.25" customHeight="1" thickBot="1">
      <c r="A91" s="447"/>
      <c r="B91" s="92" t="s">
        <v>23</v>
      </c>
      <c r="C91" s="110"/>
      <c r="D91" s="94">
        <f>C91*O91</f>
        <v>0</v>
      </c>
      <c r="E91" s="95" t="s">
        <v>24</v>
      </c>
      <c r="F91" s="451" t="s">
        <v>25</v>
      </c>
      <c r="G91" s="452"/>
      <c r="H91" s="453"/>
      <c r="M91" s="111"/>
      <c r="N91" s="112">
        <f>(((2*(B89+C89))*D89)/1000000)</f>
        <v>0</v>
      </c>
      <c r="O91" s="112">
        <f>((IF(N91&lt;=informatieblad!$I$12,informatieblad!$I$12,IF(N91&gt;=informatieblad!$I$12,N91))))</f>
        <v>0.5</v>
      </c>
      <c r="P91" s="112">
        <f>(((2*B89)+(2*C89))*D89)/1000000</f>
        <v>0</v>
      </c>
      <c r="Q91" s="112">
        <f>((IF(P91&lt;=informatieblad!$H$12,informatieblad!$H$12,IF(P91&gt;=informatieblad!$H$12,P91))))</f>
        <v>0</v>
      </c>
      <c r="R91" s="113">
        <f>((Q91*X91)+(Q91*U91))*C91</f>
        <v>0</v>
      </c>
      <c r="S91" s="114">
        <f>((O91*W91)+(O91*V91))*C91</f>
        <v>0</v>
      </c>
      <c r="T91" s="115" t="str">
        <f>F91</f>
        <v>Options None</v>
      </c>
      <c r="U91" s="116">
        <f>VLOOKUP(F91,informatieblad!$A$37:$D$41,2,FALSE)</f>
        <v>0</v>
      </c>
      <c r="V91" s="116">
        <f>VLOOKUP(F91,informatieblad!$A$37:$D$41,4,FALSE)</f>
        <v>0</v>
      </c>
      <c r="W91" s="117">
        <f>((IF(D89&lt;=900,AC91,IF(D89&gt;=900,AE91))))</f>
        <v>45.1248</v>
      </c>
      <c r="X91" s="118">
        <f>((IF(D89&lt;=900,AB91,IF(D89&gt;=900,AD91))))</f>
        <v>0</v>
      </c>
      <c r="Y91" s="119"/>
      <c r="Z91" s="119">
        <f>(MAX(B89:C89))</f>
        <v>0</v>
      </c>
      <c r="AA91" s="119">
        <f>LOOKUP(Z91,informatieblad!$C$27:$C$32,informatieblad!$A$27:$A$32)</f>
        <v>0.5</v>
      </c>
      <c r="AB91" s="118">
        <f>VLOOKUP(AA91,informatieblad!$A$27:$M$32,6,FALSE)</f>
        <v>0</v>
      </c>
      <c r="AC91" s="118">
        <f>VLOOKUP(AA91,informatieblad!$A$27:$M$32,8,FALSE)</f>
        <v>45.1248</v>
      </c>
      <c r="AD91" s="118">
        <f>VLOOKUP(AA91,informatieblad!$A$27:$M$32,9,FALSE)</f>
        <v>0</v>
      </c>
      <c r="AE91" s="118">
        <f>VLOOKUP(AA91,informatieblad!$A$27:$M$32,11,FALSE)</f>
        <v>32.463200000000001</v>
      </c>
      <c r="AF91" s="120">
        <f>VLOOKUP(AA91,informatieblad!$A$27:$M$32,13,FALSE)</f>
        <v>4</v>
      </c>
      <c r="AG91" s="121">
        <f>ROUND((AF91*P91),1)</f>
        <v>0</v>
      </c>
      <c r="AI91" s="111">
        <f>(IF(B90=AI89,((2*B89)+(2*C89)),IF(B90=AI90,((2*B89)+(2*C89)),0)))*C91</f>
        <v>0</v>
      </c>
      <c r="AJ91" s="261">
        <f>(IF(C90=AI89,((2*B89)+(2*C89)),IF(C90=AI90,((2*B89)+(2*C89)),0)))*C91</f>
        <v>0</v>
      </c>
      <c r="AK91" s="111">
        <f>(IF(B90=AK89,((2*B89)+(2*C89)),IF(B90=AK90,((2*B89)+(2*C89)),0)))*C91</f>
        <v>0</v>
      </c>
      <c r="AL91" s="260">
        <f>(IF(C90=AK89,((2*B89)+(2*C89)),IF(C90=AK90,((2*B89)+(2*C89)),0)))*C91</f>
        <v>0</v>
      </c>
      <c r="AM91" s="261">
        <f>(IF(B90=AM89,((2*B89)+(2*C89)),IF(B90=AM90,((2*B89)+(2*C89)),0)))*C91</f>
        <v>0</v>
      </c>
      <c r="AN91" s="260">
        <f>(IF(C90=AM89,((2*B89)+(2*C89)),IF(C90=AM90,((2*B89)+(2*C89)),0)))*C91</f>
        <v>0</v>
      </c>
      <c r="AO91" s="111">
        <f>(IF(B90=AO89,((2*B89)+(2*C89)),0))*C91</f>
        <v>0</v>
      </c>
      <c r="AP91" s="260">
        <f>(IF(C90=AO89,((2*B89)+(2*C89)),0))*C91</f>
        <v>0</v>
      </c>
      <c r="AR91" s="268">
        <f>D89*C91</f>
        <v>0</v>
      </c>
      <c r="AT91" s="83" t="str">
        <f>'UC mounting materials '!$B$11</f>
        <v>Rail 41x41</v>
      </c>
      <c r="AU91" s="268">
        <f>IF(Z91&gt;999,(Z91+100),0)*C91</f>
        <v>0</v>
      </c>
      <c r="AW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AX91" s="275" t="str">
        <f>IF(C90=informatieblad!$A$6,informatieblad!$B$6,IF(C90=informatieblad!$A$7,informatieblad!$B$7,IF(C90=informatieblad!$A$8,informatieblad!$B$8,IF(C90=informatieblad!$A$2,informatieblad!$B$2,IF(C90=informatieblad!$A$3,informatieblad!$B$3,IF(C90=informatieblad!$A$4,informatieblad!$B$4,IF(C90=informatieblad!$A$5,informatieblad!$B$5,"")))))))</f>
        <v/>
      </c>
      <c r="AY91" s="276">
        <f>IF(AW91=AY89,(4*C91),0)</f>
        <v>0</v>
      </c>
      <c r="AZ91" s="276">
        <f>IF(AX91=AY89,(4*C91),0)</f>
        <v>0</v>
      </c>
      <c r="BA91" s="276">
        <f>IF(AW91=BA89,(4*C91),0)</f>
        <v>0</v>
      </c>
      <c r="BB91" s="274">
        <f>IF(AX91=BA89,(4*C91),0)</f>
        <v>0</v>
      </c>
    </row>
    <row r="92" spans="1:54" ht="5.0999999999999996" customHeight="1" thickBot="1">
      <c r="A92" s="335"/>
      <c r="B92" s="88"/>
      <c r="C92" s="336"/>
      <c r="D92" s="337"/>
      <c r="E92" s="174"/>
      <c r="F92" s="336"/>
      <c r="G92" s="338"/>
      <c r="H92" s="338"/>
      <c r="M92" s="83"/>
      <c r="N92" s="142"/>
      <c r="O92" s="142"/>
      <c r="P92" s="142"/>
      <c r="Q92" s="142"/>
      <c r="R92" s="143"/>
      <c r="S92" s="143"/>
      <c r="T92" s="339"/>
      <c r="U92" s="340"/>
      <c r="V92" s="340"/>
      <c r="W92" s="341"/>
      <c r="X92" s="144"/>
      <c r="Y92" s="83"/>
      <c r="Z92" s="83"/>
      <c r="AA92" s="83"/>
      <c r="AB92" s="144"/>
      <c r="AC92" s="144"/>
      <c r="AD92" s="144"/>
      <c r="AE92" s="144"/>
      <c r="AF92" s="142"/>
      <c r="AG92" s="142"/>
      <c r="AT92" s="83"/>
      <c r="BB92" s="273"/>
    </row>
    <row r="93" spans="1:54" ht="14.25" customHeight="1" thickBot="1">
      <c r="A93" s="445"/>
      <c r="B93" s="96"/>
      <c r="C93" s="96"/>
      <c r="D93" s="96"/>
      <c r="E93" s="448"/>
      <c r="F93" s="449"/>
      <c r="G93" s="449"/>
      <c r="H93" s="450"/>
      <c r="I93" s="345" t="s">
        <v>20</v>
      </c>
      <c r="M93" s="97" t="s">
        <v>14</v>
      </c>
      <c r="N93" s="98" t="s">
        <v>27</v>
      </c>
      <c r="O93" s="98" t="s">
        <v>28</v>
      </c>
      <c r="P93" s="98" t="s">
        <v>27</v>
      </c>
      <c r="Q93" s="98" t="s">
        <v>28</v>
      </c>
      <c r="R93" s="98" t="s">
        <v>29</v>
      </c>
      <c r="S93" s="66" t="s">
        <v>30</v>
      </c>
      <c r="T93" s="99" t="s">
        <v>31</v>
      </c>
      <c r="U93" s="99"/>
      <c r="V93" s="99"/>
      <c r="W93" s="98" t="s">
        <v>32</v>
      </c>
      <c r="X93" s="98" t="s">
        <v>32</v>
      </c>
      <c r="Y93" s="98"/>
      <c r="Z93" s="98" t="s">
        <v>33</v>
      </c>
      <c r="AA93" s="100" t="s">
        <v>34</v>
      </c>
      <c r="AB93" s="98" t="s">
        <v>32</v>
      </c>
      <c r="AC93" s="98" t="s">
        <v>32</v>
      </c>
      <c r="AD93" s="98" t="s">
        <v>32</v>
      </c>
      <c r="AE93" s="98" t="s">
        <v>32</v>
      </c>
      <c r="AF93" s="98" t="s">
        <v>54</v>
      </c>
      <c r="AG93" s="101" t="s">
        <v>36</v>
      </c>
      <c r="AI93" s="97" t="str">
        <f>informatieblad!$A$6</f>
        <v>FL20</v>
      </c>
      <c r="AJ93" s="99"/>
      <c r="AK93" s="97" t="str">
        <f>informatieblad!$A$7</f>
        <v>FL30</v>
      </c>
      <c r="AL93" s="66"/>
      <c r="AM93" s="99" t="str">
        <f>informatieblad!$A$8</f>
        <v>FL40</v>
      </c>
      <c r="AN93" s="66"/>
      <c r="AO93" s="97" t="str">
        <f>informatieblad!$A$5</f>
        <v>none</v>
      </c>
      <c r="AP93" s="264"/>
      <c r="AR93" s="266" t="s">
        <v>17</v>
      </c>
      <c r="AT93" s="83"/>
      <c r="AU93" s="266" t="s">
        <v>37</v>
      </c>
      <c r="AW93" s="269" t="s">
        <v>38</v>
      </c>
      <c r="AX93" s="272"/>
      <c r="AY93" s="272">
        <f>informatieblad!$B$3</f>
        <v>0</v>
      </c>
      <c r="AZ93" s="272">
        <f>informatieblad!$B$3</f>
        <v>0</v>
      </c>
      <c r="BA93" s="272">
        <f>informatieblad!$B$4</f>
        <v>0</v>
      </c>
      <c r="BB93" s="264">
        <f>informatieblad!$B$4</f>
        <v>0</v>
      </c>
    </row>
    <row r="94" spans="1:54" ht="14.25" customHeight="1">
      <c r="A94" s="446"/>
      <c r="B94" s="102" t="str">
        <f>IF($C95&gt;0,IF(MAX(B93:C93)&lt;informatieblad!$Q$4,informatieblad!$P$3,IF(MAX(B93:C93)&gt;informatieblad!$R$4,informatieblad!$P$5,informatieblad!$P$4)),"")</f>
        <v/>
      </c>
      <c r="C94" s="102" t="str">
        <f>IF($C95&gt;0,IF(MAX(B93:C93)&lt;informatieblad!$Q$4,informatieblad!$P$3,IF(MAX(B93:C93)&gt;informatieblad!$R$4,informatieblad!$P$5,informatieblad!$P$4)),"")</f>
        <v/>
      </c>
      <c r="D94" s="88"/>
      <c r="E94" s="89" t="str">
        <f>A93&amp;"-"&amp;informatieblad!$B$12&amp;"-"&amp;B93&amp;"-"&amp;C93&amp;"-"&amp;D93&amp;"-"&amp;B94&amp;"-"&amp;C94&amp;"-"&amp;F95</f>
        <v>-RctD------Options None</v>
      </c>
      <c r="F94" s="90"/>
      <c r="G94" s="90"/>
      <c r="H94" s="91"/>
      <c r="M94" s="103">
        <f>A93</f>
        <v>0</v>
      </c>
      <c r="N94" s="104" t="s">
        <v>39</v>
      </c>
      <c r="O94" s="104" t="s">
        <v>39</v>
      </c>
      <c r="P94" s="104" t="s">
        <v>40</v>
      </c>
      <c r="Q94" s="104" t="s">
        <v>40</v>
      </c>
      <c r="R94" s="104" t="s">
        <v>40</v>
      </c>
      <c r="S94" s="105"/>
      <c r="T94" s="106" t="s">
        <v>27</v>
      </c>
      <c r="U94" s="106" t="s">
        <v>40</v>
      </c>
      <c r="V94" s="106" t="s">
        <v>41</v>
      </c>
      <c r="W94" s="104" t="s">
        <v>42</v>
      </c>
      <c r="X94" s="104" t="s">
        <v>43</v>
      </c>
      <c r="Y94" s="104"/>
      <c r="Z94" s="104" t="s">
        <v>44</v>
      </c>
      <c r="AA94" s="107"/>
      <c r="AB94" s="104" t="s">
        <v>45</v>
      </c>
      <c r="AC94" s="104" t="s">
        <v>42</v>
      </c>
      <c r="AD94" s="104" t="s">
        <v>43</v>
      </c>
      <c r="AE94" s="104" t="s">
        <v>46</v>
      </c>
      <c r="AF94" s="108"/>
      <c r="AG94" s="109"/>
      <c r="AI94" s="262" t="str">
        <f>informatieblad!$A$2</f>
        <v>FL20 loose</v>
      </c>
      <c r="AJ94" s="263"/>
      <c r="AK94" s="262" t="str">
        <f>informatieblad!$A$3</f>
        <v>FL30 loose</v>
      </c>
      <c r="AL94" s="105"/>
      <c r="AM94" s="263" t="str">
        <f>informatieblad!$A$4</f>
        <v>FL40 loose</v>
      </c>
      <c r="AN94" s="105"/>
      <c r="AO94" s="265"/>
      <c r="AP94" s="105"/>
      <c r="AR94" s="267"/>
      <c r="AT94" s="83" t="str">
        <f>'UC mounting materials '!$B$10</f>
        <v>Rail 30x15</v>
      </c>
      <c r="AU94" s="327">
        <f>IF(Z95&lt;1000,(Z95+100),0)*C95</f>
        <v>0</v>
      </c>
      <c r="AW94" s="265" t="s">
        <v>47</v>
      </c>
      <c r="AX94" s="106" t="s">
        <v>48</v>
      </c>
      <c r="AY94" s="83" t="s">
        <v>23</v>
      </c>
      <c r="AZ94" s="83" t="s">
        <v>23</v>
      </c>
      <c r="BA94" s="83" t="s">
        <v>23</v>
      </c>
      <c r="BB94" s="273" t="s">
        <v>23</v>
      </c>
    </row>
    <row r="95" spans="1:54" ht="14.25" customHeight="1" thickBot="1">
      <c r="A95" s="447"/>
      <c r="B95" s="92" t="s">
        <v>23</v>
      </c>
      <c r="C95" s="110"/>
      <c r="D95" s="94">
        <f>C95*O95</f>
        <v>0</v>
      </c>
      <c r="E95" s="95" t="s">
        <v>24</v>
      </c>
      <c r="F95" s="451" t="s">
        <v>25</v>
      </c>
      <c r="G95" s="452"/>
      <c r="H95" s="453"/>
      <c r="M95" s="111"/>
      <c r="N95" s="112">
        <f>(((2*(B93+C93))*D93)/1000000)</f>
        <v>0</v>
      </c>
      <c r="O95" s="112">
        <f>((IF(N95&lt;=informatieblad!$I$12,informatieblad!$I$12,IF(N95&gt;=informatieblad!$I$12,N95))))</f>
        <v>0.5</v>
      </c>
      <c r="P95" s="112">
        <f>(((2*B93)+(2*C93))*D93)/1000000</f>
        <v>0</v>
      </c>
      <c r="Q95" s="112">
        <f>((IF(P95&lt;=informatieblad!$H$12,informatieblad!$H$12,IF(P95&gt;=informatieblad!$H$12,P95))))</f>
        <v>0</v>
      </c>
      <c r="R95" s="113">
        <f>((Q95*X95)+(Q95*U95))*C95</f>
        <v>0</v>
      </c>
      <c r="S95" s="114">
        <f>((O95*W95)+(O95*V95))*C95</f>
        <v>0</v>
      </c>
      <c r="T95" s="115" t="str">
        <f>F95</f>
        <v>Options None</v>
      </c>
      <c r="U95" s="116">
        <f>VLOOKUP(F95,informatieblad!$A$37:$D$41,2,FALSE)</f>
        <v>0</v>
      </c>
      <c r="V95" s="116">
        <f>VLOOKUP(F95,informatieblad!$A$37:$D$41,4,FALSE)</f>
        <v>0</v>
      </c>
      <c r="W95" s="117">
        <f>((IF(D93&lt;=900,AC95,IF(D93&gt;=900,AE95))))</f>
        <v>45.1248</v>
      </c>
      <c r="X95" s="118">
        <f>((IF(D93&lt;=900,AB95,IF(D93&gt;=900,AD95))))</f>
        <v>0</v>
      </c>
      <c r="Y95" s="119"/>
      <c r="Z95" s="119">
        <f>(MAX(B93:C93))</f>
        <v>0</v>
      </c>
      <c r="AA95" s="119">
        <f>LOOKUP(Z95,informatieblad!$C$27:$C$32,informatieblad!$A$27:$A$32)</f>
        <v>0.5</v>
      </c>
      <c r="AB95" s="118">
        <f>VLOOKUP(AA95,informatieblad!$A$27:$M$32,6,FALSE)</f>
        <v>0</v>
      </c>
      <c r="AC95" s="118">
        <f>VLOOKUP(AA95,informatieblad!$A$27:$M$32,8,FALSE)</f>
        <v>45.1248</v>
      </c>
      <c r="AD95" s="118">
        <f>VLOOKUP(AA95,informatieblad!$A$27:$M$32,9,FALSE)</f>
        <v>0</v>
      </c>
      <c r="AE95" s="118">
        <f>VLOOKUP(AA95,informatieblad!$A$27:$M$32,11,FALSE)</f>
        <v>32.463200000000001</v>
      </c>
      <c r="AF95" s="120">
        <f>VLOOKUP(AA95,informatieblad!$A$27:$M$32,13,FALSE)</f>
        <v>4</v>
      </c>
      <c r="AG95" s="121">
        <f>ROUND((AF95*P95),1)</f>
        <v>0</v>
      </c>
      <c r="AI95" s="111">
        <f>(IF(B94=AI93,((2*B93)+(2*C93)),IF(B94=AI94,((2*B93)+(2*C93)),0)))*C95</f>
        <v>0</v>
      </c>
      <c r="AJ95" s="261">
        <f>(IF(C94=AI93,((2*B93)+(2*C93)),IF(C94=AI94,((2*B93)+(2*C93)),0)))*C95</f>
        <v>0</v>
      </c>
      <c r="AK95" s="111">
        <f>(IF(B94=AK93,((2*B93)+(2*C93)),IF(B94=AK94,((2*B93)+(2*C93)),0)))*C95</f>
        <v>0</v>
      </c>
      <c r="AL95" s="260">
        <f>(IF(C94=AK93,((2*B93)+(2*C93)),IF(C94=AK94,((2*B93)+(2*C93)),0)))*C95</f>
        <v>0</v>
      </c>
      <c r="AM95" s="261">
        <f>(IF(B94=AM93,((2*B93)+(2*C93)),IF(B94=AM94,((2*B93)+(2*C93)),0)))*C95</f>
        <v>0</v>
      </c>
      <c r="AN95" s="260">
        <f>(IF(C94=AM93,((2*B93)+(2*C93)),IF(C94=AM94,((2*B93)+(2*C93)),0)))*C95</f>
        <v>0</v>
      </c>
      <c r="AO95" s="111">
        <f>(IF(B94=AO93,((2*B93)+(2*C93)),0))*C95</f>
        <v>0</v>
      </c>
      <c r="AP95" s="260">
        <f>(IF(C94=AO93,((2*B93)+(2*C93)),0))*C95</f>
        <v>0</v>
      </c>
      <c r="AR95" s="268">
        <f>D93*C95</f>
        <v>0</v>
      </c>
      <c r="AT95" s="83" t="str">
        <f>'UC mounting materials '!$B$11</f>
        <v>Rail 41x41</v>
      </c>
      <c r="AU95" s="268">
        <f>IF(Z95&gt;999,(Z95+100),0)*C95</f>
        <v>0</v>
      </c>
      <c r="AW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AX95" s="275" t="str">
        <f>IF(C94=informatieblad!$A$6,informatieblad!$B$6,IF(C94=informatieblad!$A$7,informatieblad!$B$7,IF(C94=informatieblad!$A$8,informatieblad!$B$8,IF(C94=informatieblad!$A$2,informatieblad!$B$2,IF(C94=informatieblad!$A$3,informatieblad!$B$3,IF(C94=informatieblad!$A$4,informatieblad!$B$4,IF(C94=informatieblad!$A$5,informatieblad!$B$5,"")))))))</f>
        <v/>
      </c>
      <c r="AY95" s="276">
        <f>IF(AW95=AY93,(4*C95),0)</f>
        <v>0</v>
      </c>
      <c r="AZ95" s="276">
        <f>IF(AX95=AY93,(4*C95),0)</f>
        <v>0</v>
      </c>
      <c r="BA95" s="276">
        <f>IF(AW95=BA93,(4*C95),0)</f>
        <v>0</v>
      </c>
      <c r="BB95" s="274">
        <f>IF(AX95=BA93,(4*C95),0)</f>
        <v>0</v>
      </c>
    </row>
    <row r="96" spans="1:54" ht="5.0999999999999996" customHeight="1" thickBot="1">
      <c r="A96" s="335"/>
      <c r="B96" s="88"/>
      <c r="C96" s="336"/>
      <c r="D96" s="337"/>
      <c r="E96" s="174"/>
      <c r="F96" s="336"/>
      <c r="G96" s="338"/>
      <c r="H96" s="338"/>
      <c r="M96" s="83"/>
      <c r="N96" s="142"/>
      <c r="O96" s="142"/>
      <c r="P96" s="142"/>
      <c r="Q96" s="142"/>
      <c r="R96" s="143"/>
      <c r="S96" s="143"/>
      <c r="T96" s="339"/>
      <c r="U96" s="340"/>
      <c r="V96" s="340"/>
      <c r="W96" s="341"/>
      <c r="X96" s="144"/>
      <c r="Y96" s="83"/>
      <c r="Z96" s="83"/>
      <c r="AA96" s="83"/>
      <c r="AB96" s="144"/>
      <c r="AC96" s="144"/>
      <c r="AD96" s="144"/>
      <c r="AE96" s="144"/>
      <c r="AF96" s="142"/>
      <c r="AG96" s="142"/>
      <c r="AT96" s="83"/>
      <c r="BB96" s="273"/>
    </row>
    <row r="97" spans="1:54" ht="14.25" customHeight="1" thickBot="1">
      <c r="A97" s="445"/>
      <c r="B97" s="96"/>
      <c r="C97" s="96"/>
      <c r="D97" s="96"/>
      <c r="E97" s="448"/>
      <c r="F97" s="449"/>
      <c r="G97" s="449"/>
      <c r="H97" s="450"/>
      <c r="I97" s="345" t="s">
        <v>20</v>
      </c>
      <c r="M97" s="97" t="s">
        <v>14</v>
      </c>
      <c r="N97" s="98" t="s">
        <v>27</v>
      </c>
      <c r="O97" s="98" t="s">
        <v>28</v>
      </c>
      <c r="P97" s="98" t="s">
        <v>27</v>
      </c>
      <c r="Q97" s="98" t="s">
        <v>28</v>
      </c>
      <c r="R97" s="98" t="s">
        <v>29</v>
      </c>
      <c r="S97" s="66" t="s">
        <v>30</v>
      </c>
      <c r="T97" s="99" t="s">
        <v>31</v>
      </c>
      <c r="U97" s="99"/>
      <c r="V97" s="99"/>
      <c r="W97" s="98" t="s">
        <v>32</v>
      </c>
      <c r="X97" s="98" t="s">
        <v>32</v>
      </c>
      <c r="Y97" s="98"/>
      <c r="Z97" s="98" t="s">
        <v>33</v>
      </c>
      <c r="AA97" s="100" t="s">
        <v>34</v>
      </c>
      <c r="AB97" s="98" t="s">
        <v>32</v>
      </c>
      <c r="AC97" s="98" t="s">
        <v>32</v>
      </c>
      <c r="AD97" s="98" t="s">
        <v>32</v>
      </c>
      <c r="AE97" s="98" t="s">
        <v>32</v>
      </c>
      <c r="AF97" s="98" t="s">
        <v>55</v>
      </c>
      <c r="AG97" s="101" t="s">
        <v>36</v>
      </c>
      <c r="AI97" s="97" t="str">
        <f>informatieblad!$A$6</f>
        <v>FL20</v>
      </c>
      <c r="AJ97" s="99"/>
      <c r="AK97" s="97" t="str">
        <f>informatieblad!$A$7</f>
        <v>FL30</v>
      </c>
      <c r="AL97" s="66"/>
      <c r="AM97" s="99" t="str">
        <f>informatieblad!$A$8</f>
        <v>FL40</v>
      </c>
      <c r="AN97" s="66"/>
      <c r="AO97" s="97" t="str">
        <f>informatieblad!$A$5</f>
        <v>none</v>
      </c>
      <c r="AP97" s="264"/>
      <c r="AR97" s="266" t="s">
        <v>17</v>
      </c>
      <c r="AT97" s="83"/>
      <c r="AU97" s="266" t="s">
        <v>37</v>
      </c>
      <c r="AW97" s="269" t="s">
        <v>38</v>
      </c>
      <c r="AX97" s="272"/>
      <c r="AY97" s="272">
        <f>informatieblad!$B$3</f>
        <v>0</v>
      </c>
      <c r="AZ97" s="272">
        <f>informatieblad!$B$3</f>
        <v>0</v>
      </c>
      <c r="BA97" s="272">
        <f>informatieblad!$B$4</f>
        <v>0</v>
      </c>
      <c r="BB97" s="264">
        <f>informatieblad!$B$4</f>
        <v>0</v>
      </c>
    </row>
    <row r="98" spans="1:54" ht="14.25" customHeight="1">
      <c r="A98" s="446"/>
      <c r="B98" s="102" t="str">
        <f>IF($C99&gt;0,IF(MAX(B97:C97)&lt;informatieblad!$Q$4,informatieblad!$P$3,IF(MAX(B97:C97)&gt;informatieblad!$R$4,informatieblad!$P$5,informatieblad!$P$4)),"")</f>
        <v/>
      </c>
      <c r="C98" s="102" t="str">
        <f>IF($C99&gt;0,IF(MAX(B97:C97)&lt;informatieblad!$Q$4,informatieblad!$P$3,IF(MAX(B97:C97)&gt;informatieblad!$R$4,informatieblad!$P$5,informatieblad!$P$4)),"")</f>
        <v/>
      </c>
      <c r="D98" s="88"/>
      <c r="E98" s="89" t="str">
        <f>A97&amp;"-"&amp;informatieblad!$B$12&amp;"-"&amp;B97&amp;"-"&amp;C97&amp;"-"&amp;D97&amp;"-"&amp;B98&amp;"-"&amp;C98&amp;"-"&amp;F99</f>
        <v>-RctD------Options None</v>
      </c>
      <c r="F98" s="90"/>
      <c r="G98" s="90"/>
      <c r="H98" s="91"/>
      <c r="M98" s="103">
        <f>A97</f>
        <v>0</v>
      </c>
      <c r="N98" s="104" t="s">
        <v>39</v>
      </c>
      <c r="O98" s="104" t="s">
        <v>39</v>
      </c>
      <c r="P98" s="104" t="s">
        <v>40</v>
      </c>
      <c r="Q98" s="104" t="s">
        <v>40</v>
      </c>
      <c r="R98" s="104" t="s">
        <v>40</v>
      </c>
      <c r="S98" s="105"/>
      <c r="T98" s="106" t="s">
        <v>27</v>
      </c>
      <c r="U98" s="106" t="s">
        <v>40</v>
      </c>
      <c r="V98" s="106" t="s">
        <v>41</v>
      </c>
      <c r="W98" s="104" t="s">
        <v>42</v>
      </c>
      <c r="X98" s="104" t="s">
        <v>43</v>
      </c>
      <c r="Y98" s="104"/>
      <c r="Z98" s="104" t="s">
        <v>44</v>
      </c>
      <c r="AA98" s="107"/>
      <c r="AB98" s="104" t="s">
        <v>45</v>
      </c>
      <c r="AC98" s="104" t="s">
        <v>42</v>
      </c>
      <c r="AD98" s="104" t="s">
        <v>43</v>
      </c>
      <c r="AE98" s="104" t="s">
        <v>46</v>
      </c>
      <c r="AF98" s="108"/>
      <c r="AG98" s="109"/>
      <c r="AI98" s="262" t="str">
        <f>informatieblad!$A$2</f>
        <v>FL20 loose</v>
      </c>
      <c r="AJ98" s="263"/>
      <c r="AK98" s="262" t="str">
        <f>informatieblad!$A$3</f>
        <v>FL30 loose</v>
      </c>
      <c r="AL98" s="105"/>
      <c r="AM98" s="263" t="str">
        <f>informatieblad!$A$4</f>
        <v>FL40 loose</v>
      </c>
      <c r="AN98" s="105"/>
      <c r="AO98" s="265"/>
      <c r="AP98" s="105"/>
      <c r="AR98" s="267"/>
      <c r="AT98" s="83" t="str">
        <f>'UC mounting materials '!$B$10</f>
        <v>Rail 30x15</v>
      </c>
      <c r="AU98" s="327">
        <f>IF(Z99&lt;1000,(Z99+100),0)*C99</f>
        <v>0</v>
      </c>
      <c r="AW98" s="265" t="s">
        <v>47</v>
      </c>
      <c r="AX98" s="106" t="s">
        <v>48</v>
      </c>
      <c r="AY98" s="83" t="s">
        <v>23</v>
      </c>
      <c r="AZ98" s="83" t="s">
        <v>23</v>
      </c>
      <c r="BA98" s="83" t="s">
        <v>23</v>
      </c>
      <c r="BB98" s="273" t="s">
        <v>23</v>
      </c>
    </row>
    <row r="99" spans="1:54" ht="14.25" customHeight="1" thickBot="1">
      <c r="A99" s="447"/>
      <c r="B99" s="92" t="s">
        <v>23</v>
      </c>
      <c r="C99" s="110"/>
      <c r="D99" s="94">
        <f>C99*O99</f>
        <v>0</v>
      </c>
      <c r="E99" s="95" t="s">
        <v>24</v>
      </c>
      <c r="F99" s="451" t="s">
        <v>25</v>
      </c>
      <c r="G99" s="452"/>
      <c r="H99" s="453"/>
      <c r="M99" s="111"/>
      <c r="N99" s="112">
        <f>(((2*(B97+C97))*D97)/1000000)</f>
        <v>0</v>
      </c>
      <c r="O99" s="112">
        <f>((IF(N99&lt;=informatieblad!$I$12,informatieblad!$I$12,IF(N99&gt;=informatieblad!$I$12,N99))))</f>
        <v>0.5</v>
      </c>
      <c r="P99" s="112">
        <f>(((2*B97)+(2*C97))*D97)/1000000</f>
        <v>0</v>
      </c>
      <c r="Q99" s="112">
        <f>((IF(P99&lt;=informatieblad!$H$12,informatieblad!$H$12,IF(P99&gt;=informatieblad!$H$12,P99))))</f>
        <v>0</v>
      </c>
      <c r="R99" s="113">
        <f>((Q99*X99)+(Q99*U99))*C99</f>
        <v>0</v>
      </c>
      <c r="S99" s="114">
        <f>((O99*W99)+(O99*V99))*C99</f>
        <v>0</v>
      </c>
      <c r="T99" s="115" t="str">
        <f>F99</f>
        <v>Options None</v>
      </c>
      <c r="U99" s="116">
        <f>VLOOKUP(F99,informatieblad!$A$37:$D$41,2,FALSE)</f>
        <v>0</v>
      </c>
      <c r="V99" s="116">
        <f>VLOOKUP(F99,informatieblad!$A$37:$D$41,4,FALSE)</f>
        <v>0</v>
      </c>
      <c r="W99" s="117">
        <f>((IF(D97&lt;=900,AC99,IF(D97&gt;=900,AE99))))</f>
        <v>45.1248</v>
      </c>
      <c r="X99" s="118">
        <f>((IF(D97&lt;=900,AB99,IF(D97&gt;=900,AD99))))</f>
        <v>0</v>
      </c>
      <c r="Y99" s="119"/>
      <c r="Z99" s="119">
        <f>(MAX(B97:C97))</f>
        <v>0</v>
      </c>
      <c r="AA99" s="119">
        <f>LOOKUP(Z99,informatieblad!$C$27:$C$32,informatieblad!$A$27:$A$32)</f>
        <v>0.5</v>
      </c>
      <c r="AB99" s="118">
        <f>VLOOKUP(AA99,informatieblad!$A$27:$M$32,6,FALSE)</f>
        <v>0</v>
      </c>
      <c r="AC99" s="118">
        <f>VLOOKUP(AA99,informatieblad!$A$27:$M$32,8,FALSE)</f>
        <v>45.1248</v>
      </c>
      <c r="AD99" s="118">
        <f>VLOOKUP(AA99,informatieblad!$A$27:$M$32,9,FALSE)</f>
        <v>0</v>
      </c>
      <c r="AE99" s="118">
        <f>VLOOKUP(AA99,informatieblad!$A$27:$M$32,11,FALSE)</f>
        <v>32.463200000000001</v>
      </c>
      <c r="AF99" s="120">
        <f>VLOOKUP(AA99,informatieblad!$A$27:$M$32,13,FALSE)</f>
        <v>4</v>
      </c>
      <c r="AG99" s="121">
        <f>ROUND((AF99*P99),1)</f>
        <v>0</v>
      </c>
      <c r="AI99" s="111">
        <f>(IF(B98=AI97,((2*B97)+(2*C97)),IF(B98=AI98,((2*B97)+(2*C97)),0)))*C99</f>
        <v>0</v>
      </c>
      <c r="AJ99" s="261">
        <f>(IF(C98=AI97,((2*B97)+(2*C97)),IF(C98=AI98,((2*B97)+(2*C97)),0)))*C99</f>
        <v>0</v>
      </c>
      <c r="AK99" s="111">
        <f>(IF(B98=AK97,((2*B97)+(2*C97)),IF(B98=AK98,((2*B97)+(2*C97)),0)))*C99</f>
        <v>0</v>
      </c>
      <c r="AL99" s="260">
        <f>(IF(C98=AK97,((2*B97)+(2*C97)),IF(C98=AK98,((2*B97)+(2*C97)),0)))*C99</f>
        <v>0</v>
      </c>
      <c r="AM99" s="261">
        <f>(IF(B98=AM97,((2*B97)+(2*C97)),IF(B98=AM98,((2*B97)+(2*C97)),0)))*C99</f>
        <v>0</v>
      </c>
      <c r="AN99" s="260">
        <f>(IF(C98=AM97,((2*B97)+(2*C97)),IF(C98=AM98,((2*B97)+(2*C97)),0)))*C99</f>
        <v>0</v>
      </c>
      <c r="AO99" s="111">
        <f>(IF(B98=AO97,((2*B97)+(2*C97)),0))*C99</f>
        <v>0</v>
      </c>
      <c r="AP99" s="260">
        <f>(IF(C98=AO97,((2*B97)+(2*C97)),0))*C99</f>
        <v>0</v>
      </c>
      <c r="AR99" s="268">
        <f>D97*C99</f>
        <v>0</v>
      </c>
      <c r="AT99" s="83" t="str">
        <f>'UC mounting materials '!$B$11</f>
        <v>Rail 41x41</v>
      </c>
      <c r="AU99" s="268">
        <f>IF(Z99&gt;999,(Z99+100),0)*C99</f>
        <v>0</v>
      </c>
      <c r="AW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AX99" s="275" t="str">
        <f>IF(C98=informatieblad!$A$6,informatieblad!$B$6,IF(C98=informatieblad!$A$7,informatieblad!$B$7,IF(C98=informatieblad!$A$8,informatieblad!$B$8,IF(C98=informatieblad!$A$2,informatieblad!$B$2,IF(C98=informatieblad!$A$3,informatieblad!$B$3,IF(C98=informatieblad!$A$4,informatieblad!$B$4,IF(C98=informatieblad!$A$5,informatieblad!$B$5,"")))))))</f>
        <v/>
      </c>
      <c r="AY99" s="276">
        <f>IF(AW99=AY97,(4*C99),0)</f>
        <v>0</v>
      </c>
      <c r="AZ99" s="276">
        <f>IF(AX99=AY97,(4*C99),0)</f>
        <v>0</v>
      </c>
      <c r="BA99" s="276">
        <f>IF(AW99=BA97,(4*C99),0)</f>
        <v>0</v>
      </c>
      <c r="BB99" s="274">
        <f>IF(AX99=BA97,(4*C99),0)</f>
        <v>0</v>
      </c>
    </row>
    <row r="100" spans="1:54" ht="5.0999999999999996" customHeight="1" thickBot="1">
      <c r="A100" s="335"/>
      <c r="B100" s="88"/>
      <c r="C100" s="336"/>
      <c r="D100" s="337"/>
      <c r="E100" s="174"/>
      <c r="F100" s="336"/>
      <c r="G100" s="338"/>
      <c r="H100" s="338"/>
      <c r="M100" s="83"/>
      <c r="N100" s="142"/>
      <c r="O100" s="142"/>
      <c r="P100" s="142"/>
      <c r="Q100" s="142"/>
      <c r="R100" s="143"/>
      <c r="S100" s="143"/>
      <c r="T100" s="339"/>
      <c r="U100" s="340"/>
      <c r="V100" s="340"/>
      <c r="W100" s="341"/>
      <c r="X100" s="144"/>
      <c r="Y100" s="83"/>
      <c r="Z100" s="83"/>
      <c r="AA100" s="83"/>
      <c r="AB100" s="144"/>
      <c r="AC100" s="144"/>
      <c r="AD100" s="144"/>
      <c r="AE100" s="144"/>
      <c r="AF100" s="142"/>
      <c r="AG100" s="142"/>
      <c r="AT100" s="83"/>
      <c r="BB100" s="273"/>
    </row>
    <row r="101" spans="1:54" ht="14.25" customHeight="1" thickBot="1">
      <c r="A101" s="445"/>
      <c r="B101" s="96"/>
      <c r="C101" s="96"/>
      <c r="D101" s="96"/>
      <c r="E101" s="448"/>
      <c r="F101" s="449"/>
      <c r="G101" s="449"/>
      <c r="H101" s="450"/>
      <c r="I101" s="345" t="s">
        <v>20</v>
      </c>
      <c r="M101" s="97" t="s">
        <v>14</v>
      </c>
      <c r="N101" s="98" t="s">
        <v>27</v>
      </c>
      <c r="O101" s="98" t="s">
        <v>28</v>
      </c>
      <c r="P101" s="98" t="s">
        <v>27</v>
      </c>
      <c r="Q101" s="98" t="s">
        <v>28</v>
      </c>
      <c r="R101" s="98" t="s">
        <v>29</v>
      </c>
      <c r="S101" s="66" t="s">
        <v>30</v>
      </c>
      <c r="T101" s="99" t="s">
        <v>31</v>
      </c>
      <c r="U101" s="99"/>
      <c r="V101" s="99"/>
      <c r="W101" s="98" t="s">
        <v>32</v>
      </c>
      <c r="X101" s="98" t="s">
        <v>32</v>
      </c>
      <c r="Y101" s="98"/>
      <c r="Z101" s="98" t="s">
        <v>33</v>
      </c>
      <c r="AA101" s="100" t="s">
        <v>34</v>
      </c>
      <c r="AB101" s="98" t="s">
        <v>32</v>
      </c>
      <c r="AC101" s="98" t="s">
        <v>32</v>
      </c>
      <c r="AD101" s="98" t="s">
        <v>32</v>
      </c>
      <c r="AE101" s="98" t="s">
        <v>32</v>
      </c>
      <c r="AF101" s="98" t="s">
        <v>56</v>
      </c>
      <c r="AG101" s="101" t="s">
        <v>36</v>
      </c>
      <c r="AI101" s="97" t="str">
        <f>informatieblad!$A$6</f>
        <v>FL20</v>
      </c>
      <c r="AJ101" s="99"/>
      <c r="AK101" s="97" t="str">
        <f>informatieblad!$A$7</f>
        <v>FL30</v>
      </c>
      <c r="AL101" s="66"/>
      <c r="AM101" s="99" t="str">
        <f>informatieblad!$A$8</f>
        <v>FL40</v>
      </c>
      <c r="AN101" s="66"/>
      <c r="AO101" s="97" t="str">
        <f>informatieblad!$A$5</f>
        <v>none</v>
      </c>
      <c r="AP101" s="264"/>
      <c r="AR101" s="266" t="s">
        <v>17</v>
      </c>
      <c r="AT101" s="83"/>
      <c r="AU101" s="266" t="s">
        <v>37</v>
      </c>
      <c r="AW101" s="269" t="s">
        <v>38</v>
      </c>
      <c r="AX101" s="272"/>
      <c r="AY101" s="272">
        <f>informatieblad!$B$3</f>
        <v>0</v>
      </c>
      <c r="AZ101" s="272">
        <f>informatieblad!$B$3</f>
        <v>0</v>
      </c>
      <c r="BA101" s="272">
        <f>informatieblad!$B$4</f>
        <v>0</v>
      </c>
      <c r="BB101" s="264">
        <f>informatieblad!$B$4</f>
        <v>0</v>
      </c>
    </row>
    <row r="102" spans="1:54" ht="14.25" customHeight="1">
      <c r="A102" s="446"/>
      <c r="B102" s="102" t="str">
        <f>IF($C103&gt;0,IF(MAX(B101:C101)&lt;informatieblad!$Q$4,informatieblad!$P$3,IF(MAX(B101:C101)&gt;informatieblad!$R$4,informatieblad!$P$5,informatieblad!$P$4)),"")</f>
        <v/>
      </c>
      <c r="C102" s="102" t="str">
        <f>IF($C103&gt;0,IF(MAX(B101:C101)&lt;informatieblad!$Q$4,informatieblad!$P$3,IF(MAX(B101:C101)&gt;informatieblad!$R$4,informatieblad!$P$5,informatieblad!$P$4)),"")</f>
        <v/>
      </c>
      <c r="D102" s="88"/>
      <c r="E102" s="89" t="str">
        <f>A101&amp;"-"&amp;informatieblad!$B$12&amp;"-"&amp;B101&amp;"-"&amp;C101&amp;"-"&amp;D101&amp;"-"&amp;B102&amp;"-"&amp;C102&amp;"-"&amp;F103</f>
        <v>-RctD------Options None</v>
      </c>
      <c r="F102" s="90"/>
      <c r="G102" s="90"/>
      <c r="H102" s="91"/>
      <c r="M102" s="103">
        <f>A101</f>
        <v>0</v>
      </c>
      <c r="N102" s="104" t="s">
        <v>39</v>
      </c>
      <c r="O102" s="104" t="s">
        <v>39</v>
      </c>
      <c r="P102" s="104" t="s">
        <v>40</v>
      </c>
      <c r="Q102" s="104" t="s">
        <v>40</v>
      </c>
      <c r="R102" s="104" t="s">
        <v>40</v>
      </c>
      <c r="S102" s="105"/>
      <c r="T102" s="106" t="s">
        <v>27</v>
      </c>
      <c r="U102" s="106" t="s">
        <v>40</v>
      </c>
      <c r="V102" s="106" t="s">
        <v>41</v>
      </c>
      <c r="W102" s="104" t="s">
        <v>42</v>
      </c>
      <c r="X102" s="104" t="s">
        <v>43</v>
      </c>
      <c r="Y102" s="104"/>
      <c r="Z102" s="104" t="s">
        <v>44</v>
      </c>
      <c r="AA102" s="107"/>
      <c r="AB102" s="104" t="s">
        <v>45</v>
      </c>
      <c r="AC102" s="104" t="s">
        <v>42</v>
      </c>
      <c r="AD102" s="104" t="s">
        <v>43</v>
      </c>
      <c r="AE102" s="104" t="s">
        <v>46</v>
      </c>
      <c r="AF102" s="108"/>
      <c r="AG102" s="109"/>
      <c r="AI102" s="262" t="str">
        <f>informatieblad!$A$2</f>
        <v>FL20 loose</v>
      </c>
      <c r="AJ102" s="263"/>
      <c r="AK102" s="262" t="str">
        <f>informatieblad!$A$3</f>
        <v>FL30 loose</v>
      </c>
      <c r="AL102" s="105"/>
      <c r="AM102" s="263" t="str">
        <f>informatieblad!$A$4</f>
        <v>FL40 loose</v>
      </c>
      <c r="AN102" s="105"/>
      <c r="AO102" s="265"/>
      <c r="AP102" s="105"/>
      <c r="AR102" s="267"/>
      <c r="AT102" s="83" t="str">
        <f>'UC mounting materials '!$B$10</f>
        <v>Rail 30x15</v>
      </c>
      <c r="AU102" s="327">
        <f>IF(Z103&lt;1000,(Z103+100),0)*C103</f>
        <v>0</v>
      </c>
      <c r="AW102" s="265" t="s">
        <v>47</v>
      </c>
      <c r="AX102" s="106" t="s">
        <v>48</v>
      </c>
      <c r="AY102" s="83" t="s">
        <v>23</v>
      </c>
      <c r="AZ102" s="83" t="s">
        <v>23</v>
      </c>
      <c r="BA102" s="83" t="s">
        <v>23</v>
      </c>
      <c r="BB102" s="273" t="s">
        <v>23</v>
      </c>
    </row>
    <row r="103" spans="1:54" ht="14.25" customHeight="1" thickBot="1">
      <c r="A103" s="447"/>
      <c r="B103" s="92" t="s">
        <v>23</v>
      </c>
      <c r="C103" s="110"/>
      <c r="D103" s="94">
        <f>C103*O103</f>
        <v>0</v>
      </c>
      <c r="E103" s="95" t="s">
        <v>24</v>
      </c>
      <c r="F103" s="451" t="s">
        <v>25</v>
      </c>
      <c r="G103" s="452"/>
      <c r="H103" s="453"/>
      <c r="M103" s="111"/>
      <c r="N103" s="112">
        <f>(((2*(B101+C101))*D101)/1000000)</f>
        <v>0</v>
      </c>
      <c r="O103" s="112">
        <f>((IF(N103&lt;=informatieblad!$I$12,informatieblad!$I$12,IF(N103&gt;=informatieblad!$I$12,N103))))</f>
        <v>0.5</v>
      </c>
      <c r="P103" s="112">
        <f>(((2*B101)+(2*C101))*D101)/1000000</f>
        <v>0</v>
      </c>
      <c r="Q103" s="112">
        <f>((IF(P103&lt;=informatieblad!$H$12,informatieblad!$H$12,IF(P103&gt;=informatieblad!$H$12,P103))))</f>
        <v>0</v>
      </c>
      <c r="R103" s="113">
        <f>((Q103*X103)+(Q103*U103))*C103</f>
        <v>0</v>
      </c>
      <c r="S103" s="114">
        <f>((O103*W103)+(O103*V103))*C103</f>
        <v>0</v>
      </c>
      <c r="T103" s="115" t="str">
        <f>F103</f>
        <v>Options None</v>
      </c>
      <c r="U103" s="116">
        <f>VLOOKUP(F103,informatieblad!$A$37:$D$41,2,FALSE)</f>
        <v>0</v>
      </c>
      <c r="V103" s="116">
        <f>VLOOKUP(F103,informatieblad!$A$37:$D$41,4,FALSE)</f>
        <v>0</v>
      </c>
      <c r="W103" s="117">
        <f>((IF(D101&lt;=900,AC103,IF(D101&gt;=900,AE103))))</f>
        <v>45.1248</v>
      </c>
      <c r="X103" s="118">
        <f>((IF(D101&lt;=900,AB103,IF(D101&gt;=900,AD103))))</f>
        <v>0</v>
      </c>
      <c r="Y103" s="119"/>
      <c r="Z103" s="119">
        <f>(MAX(B101:C101))</f>
        <v>0</v>
      </c>
      <c r="AA103" s="119">
        <f>LOOKUP(Z103,informatieblad!$C$27:$C$32,informatieblad!$A$27:$A$32)</f>
        <v>0.5</v>
      </c>
      <c r="AB103" s="118">
        <f>VLOOKUP(AA103,informatieblad!$A$27:$M$32,6,FALSE)</f>
        <v>0</v>
      </c>
      <c r="AC103" s="118">
        <f>VLOOKUP(AA103,informatieblad!$A$27:$M$32,8,FALSE)</f>
        <v>45.1248</v>
      </c>
      <c r="AD103" s="118">
        <f>VLOOKUP(AA103,informatieblad!$A$27:$M$32,9,FALSE)</f>
        <v>0</v>
      </c>
      <c r="AE103" s="118">
        <f>VLOOKUP(AA103,informatieblad!$A$27:$M$32,11,FALSE)</f>
        <v>32.463200000000001</v>
      </c>
      <c r="AF103" s="120">
        <f>VLOOKUP(AA103,informatieblad!$A$27:$M$32,13,FALSE)</f>
        <v>4</v>
      </c>
      <c r="AG103" s="121">
        <f>ROUND((AF103*P103),1)</f>
        <v>0</v>
      </c>
      <c r="AI103" s="111">
        <f>(IF(B102=AI101,((2*B101)+(2*C101)),IF(B102=AI102,((2*B101)+(2*C101)),0)))*C103</f>
        <v>0</v>
      </c>
      <c r="AJ103" s="261">
        <f>(IF(C102=AI101,((2*B101)+(2*C101)),IF(C102=AI102,((2*B101)+(2*C101)),0)))*C103</f>
        <v>0</v>
      </c>
      <c r="AK103" s="111">
        <f>(IF(B102=AK101,((2*B101)+(2*C101)),IF(B102=AK102,((2*B101)+(2*C101)),0)))*C103</f>
        <v>0</v>
      </c>
      <c r="AL103" s="260">
        <f>(IF(C102=AK101,((2*B101)+(2*C101)),IF(C102=AK102,((2*B101)+(2*C101)),0)))*C103</f>
        <v>0</v>
      </c>
      <c r="AM103" s="261">
        <f>(IF(B102=AM101,((2*B101)+(2*C101)),IF(B102=AM102,((2*B101)+(2*C101)),0)))*C103</f>
        <v>0</v>
      </c>
      <c r="AN103" s="260">
        <f>(IF(C102=AM101,((2*B101)+(2*C101)),IF(C102=AM102,((2*B101)+(2*C101)),0)))*C103</f>
        <v>0</v>
      </c>
      <c r="AO103" s="111">
        <f>(IF(B102=AO101,((2*B101)+(2*C101)),0))*C103</f>
        <v>0</v>
      </c>
      <c r="AP103" s="260">
        <f>(IF(C102=AO101,((2*B101)+(2*C101)),0))*C103</f>
        <v>0</v>
      </c>
      <c r="AR103" s="268">
        <f>D101*C103</f>
        <v>0</v>
      </c>
      <c r="AT103" s="83" t="str">
        <f>'UC mounting materials '!$B$11</f>
        <v>Rail 41x41</v>
      </c>
      <c r="AU103" s="268">
        <f>IF(Z103&gt;999,(Z103+100),0)*C103</f>
        <v>0</v>
      </c>
      <c r="AW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AX103" s="275" t="str">
        <f>IF(C102=informatieblad!$A$6,informatieblad!$B$6,IF(C102=informatieblad!$A$7,informatieblad!$B$7,IF(C102=informatieblad!$A$8,informatieblad!$B$8,IF(C102=informatieblad!$A$2,informatieblad!$B$2,IF(C102=informatieblad!$A$3,informatieblad!$B$3,IF(C102=informatieblad!$A$4,informatieblad!$B$4,IF(C102=informatieblad!$A$5,informatieblad!$B$5,"")))))))</f>
        <v/>
      </c>
      <c r="AY103" s="276">
        <f>IF(AW103=AY101,(4*C103),0)</f>
        <v>0</v>
      </c>
      <c r="AZ103" s="276">
        <f>IF(AX103=AY101,(4*C103),0)</f>
        <v>0</v>
      </c>
      <c r="BA103" s="276">
        <f>IF(AW103=BA101,(4*C103),0)</f>
        <v>0</v>
      </c>
      <c r="BB103" s="274">
        <f>IF(AX103=BA101,(4*C103),0)</f>
        <v>0</v>
      </c>
    </row>
    <row r="104" spans="1:54" ht="5.0999999999999996" customHeight="1" thickBot="1">
      <c r="A104" s="335"/>
      <c r="B104" s="88"/>
      <c r="C104" s="336"/>
      <c r="D104" s="337"/>
      <c r="E104" s="174"/>
      <c r="F104" s="336"/>
      <c r="G104" s="338"/>
      <c r="H104" s="338"/>
      <c r="M104" s="83"/>
      <c r="N104" s="142"/>
      <c r="O104" s="142"/>
      <c r="P104" s="142"/>
      <c r="Q104" s="142"/>
      <c r="R104" s="143"/>
      <c r="S104" s="143"/>
      <c r="T104" s="339"/>
      <c r="U104" s="340"/>
      <c r="V104" s="340"/>
      <c r="W104" s="341"/>
      <c r="X104" s="144"/>
      <c r="Y104" s="83"/>
      <c r="Z104" s="83"/>
      <c r="AA104" s="83"/>
      <c r="AB104" s="144"/>
      <c r="AC104" s="144"/>
      <c r="AD104" s="144"/>
      <c r="AE104" s="144"/>
      <c r="AF104" s="142"/>
      <c r="AG104" s="142"/>
      <c r="AT104" s="83"/>
      <c r="BB104" s="273"/>
    </row>
    <row r="105" spans="1:54" ht="14.25" customHeight="1" thickBot="1">
      <c r="A105" s="445"/>
      <c r="B105" s="96"/>
      <c r="C105" s="96"/>
      <c r="D105" s="96"/>
      <c r="E105" s="448"/>
      <c r="F105" s="449"/>
      <c r="G105" s="449"/>
      <c r="H105" s="450"/>
      <c r="I105" s="345" t="s">
        <v>20</v>
      </c>
      <c r="M105" s="97" t="s">
        <v>14</v>
      </c>
      <c r="N105" s="98" t="s">
        <v>27</v>
      </c>
      <c r="O105" s="98" t="s">
        <v>28</v>
      </c>
      <c r="P105" s="98" t="s">
        <v>27</v>
      </c>
      <c r="Q105" s="98" t="s">
        <v>28</v>
      </c>
      <c r="R105" s="98" t="s">
        <v>29</v>
      </c>
      <c r="S105" s="66" t="s">
        <v>30</v>
      </c>
      <c r="T105" s="99" t="s">
        <v>31</v>
      </c>
      <c r="U105" s="99"/>
      <c r="V105" s="99"/>
      <c r="W105" s="98" t="s">
        <v>32</v>
      </c>
      <c r="X105" s="98" t="s">
        <v>32</v>
      </c>
      <c r="Y105" s="98"/>
      <c r="Z105" s="98" t="s">
        <v>33</v>
      </c>
      <c r="AA105" s="100" t="s">
        <v>34</v>
      </c>
      <c r="AB105" s="98" t="s">
        <v>32</v>
      </c>
      <c r="AC105" s="98" t="s">
        <v>32</v>
      </c>
      <c r="AD105" s="98" t="s">
        <v>32</v>
      </c>
      <c r="AE105" s="98" t="s">
        <v>32</v>
      </c>
      <c r="AF105" s="98" t="s">
        <v>57</v>
      </c>
      <c r="AG105" s="101" t="s">
        <v>36</v>
      </c>
      <c r="AI105" s="97" t="str">
        <f>informatieblad!$A$6</f>
        <v>FL20</v>
      </c>
      <c r="AJ105" s="99"/>
      <c r="AK105" s="97" t="str">
        <f>informatieblad!$A$7</f>
        <v>FL30</v>
      </c>
      <c r="AL105" s="66"/>
      <c r="AM105" s="99" t="str">
        <f>informatieblad!$A$8</f>
        <v>FL40</v>
      </c>
      <c r="AN105" s="66"/>
      <c r="AO105" s="97" t="str">
        <f>informatieblad!$A$5</f>
        <v>none</v>
      </c>
      <c r="AP105" s="264"/>
      <c r="AR105" s="266" t="s">
        <v>17</v>
      </c>
      <c r="AT105" s="83"/>
      <c r="AU105" s="266" t="s">
        <v>37</v>
      </c>
      <c r="AW105" s="269" t="s">
        <v>38</v>
      </c>
      <c r="AX105" s="272"/>
      <c r="AY105" s="272">
        <f>informatieblad!$B$3</f>
        <v>0</v>
      </c>
      <c r="AZ105" s="272">
        <f>informatieblad!$B$3</f>
        <v>0</v>
      </c>
      <c r="BA105" s="272">
        <f>informatieblad!$B$4</f>
        <v>0</v>
      </c>
      <c r="BB105" s="264">
        <f>informatieblad!$B$4</f>
        <v>0</v>
      </c>
    </row>
    <row r="106" spans="1:54" ht="14.25" customHeight="1">
      <c r="A106" s="446"/>
      <c r="B106" s="102" t="str">
        <f>IF($C107&gt;0,IF(MAX(B105:C105)&lt;informatieblad!$Q$4,informatieblad!$P$3,IF(MAX(B105:C105)&gt;informatieblad!$R$4,informatieblad!$P$5,informatieblad!$P$4)),"")</f>
        <v/>
      </c>
      <c r="C106" s="102" t="str">
        <f>IF($C107&gt;0,IF(MAX(B105:C105)&lt;informatieblad!$Q$4,informatieblad!$P$3,IF(MAX(B105:C105)&gt;informatieblad!$R$4,informatieblad!$P$5,informatieblad!$P$4)),"")</f>
        <v/>
      </c>
      <c r="D106" s="88"/>
      <c r="E106" s="89" t="str">
        <f>A105&amp;"-"&amp;informatieblad!$B$12&amp;"-"&amp;B105&amp;"-"&amp;C105&amp;"-"&amp;D105&amp;"-"&amp;B106&amp;"-"&amp;C106&amp;"-"&amp;F107</f>
        <v>-RctD------Options None</v>
      </c>
      <c r="F106" s="90"/>
      <c r="G106" s="90"/>
      <c r="H106" s="91"/>
      <c r="M106" s="103">
        <f>A105</f>
        <v>0</v>
      </c>
      <c r="N106" s="104" t="s">
        <v>39</v>
      </c>
      <c r="O106" s="104" t="s">
        <v>39</v>
      </c>
      <c r="P106" s="104" t="s">
        <v>40</v>
      </c>
      <c r="Q106" s="104" t="s">
        <v>40</v>
      </c>
      <c r="R106" s="104" t="s">
        <v>40</v>
      </c>
      <c r="S106" s="105"/>
      <c r="T106" s="106" t="s">
        <v>27</v>
      </c>
      <c r="U106" s="106" t="s">
        <v>40</v>
      </c>
      <c r="V106" s="106" t="s">
        <v>41</v>
      </c>
      <c r="W106" s="104" t="s">
        <v>42</v>
      </c>
      <c r="X106" s="104" t="s">
        <v>43</v>
      </c>
      <c r="Y106" s="104"/>
      <c r="Z106" s="104" t="s">
        <v>44</v>
      </c>
      <c r="AA106" s="107"/>
      <c r="AB106" s="104" t="s">
        <v>45</v>
      </c>
      <c r="AC106" s="104" t="s">
        <v>42</v>
      </c>
      <c r="AD106" s="104" t="s">
        <v>43</v>
      </c>
      <c r="AE106" s="104" t="s">
        <v>46</v>
      </c>
      <c r="AF106" s="108"/>
      <c r="AG106" s="109"/>
      <c r="AI106" s="262" t="str">
        <f>informatieblad!$A$2</f>
        <v>FL20 loose</v>
      </c>
      <c r="AJ106" s="263"/>
      <c r="AK106" s="262" t="str">
        <f>informatieblad!$A$3</f>
        <v>FL30 loose</v>
      </c>
      <c r="AL106" s="105"/>
      <c r="AM106" s="263" t="str">
        <f>informatieblad!$A$4</f>
        <v>FL40 loose</v>
      </c>
      <c r="AN106" s="105"/>
      <c r="AO106" s="265"/>
      <c r="AP106" s="105"/>
      <c r="AR106" s="267"/>
      <c r="AT106" s="83" t="str">
        <f>'UC mounting materials '!$B$10</f>
        <v>Rail 30x15</v>
      </c>
      <c r="AU106" s="327">
        <f>IF(Z107&lt;1000,(Z107+100),0)*C107</f>
        <v>0</v>
      </c>
      <c r="AW106" s="265" t="s">
        <v>47</v>
      </c>
      <c r="AX106" s="106" t="s">
        <v>48</v>
      </c>
      <c r="AY106" s="83" t="s">
        <v>23</v>
      </c>
      <c r="AZ106" s="83" t="s">
        <v>23</v>
      </c>
      <c r="BA106" s="83" t="s">
        <v>23</v>
      </c>
      <c r="BB106" s="273" t="s">
        <v>23</v>
      </c>
    </row>
    <row r="107" spans="1:54" ht="14.25" customHeight="1" thickBot="1">
      <c r="A107" s="447"/>
      <c r="B107" s="92" t="s">
        <v>23</v>
      </c>
      <c r="C107" s="110"/>
      <c r="D107" s="94">
        <f>C107*O107</f>
        <v>0</v>
      </c>
      <c r="E107" s="95" t="s">
        <v>24</v>
      </c>
      <c r="F107" s="451" t="s">
        <v>25</v>
      </c>
      <c r="G107" s="452"/>
      <c r="H107" s="453"/>
      <c r="M107" s="111"/>
      <c r="N107" s="112">
        <f>(((2*(B105+C105))*D105)/1000000)</f>
        <v>0</v>
      </c>
      <c r="O107" s="112">
        <f>((IF(N107&lt;=informatieblad!$I$12,informatieblad!$I$12,IF(N107&gt;=informatieblad!$I$12,N107))))</f>
        <v>0.5</v>
      </c>
      <c r="P107" s="112">
        <f>(((2*B105)+(2*C105))*D105)/1000000</f>
        <v>0</v>
      </c>
      <c r="Q107" s="112">
        <f>((IF(P107&lt;=informatieblad!$H$12,informatieblad!$H$12,IF(P107&gt;=informatieblad!$H$12,P107))))</f>
        <v>0</v>
      </c>
      <c r="R107" s="113">
        <f>((Q107*X107)+(Q107*U107))*C107</f>
        <v>0</v>
      </c>
      <c r="S107" s="114">
        <f>((O107*W107)+(O107*V107))*C107</f>
        <v>0</v>
      </c>
      <c r="T107" s="115" t="str">
        <f>F107</f>
        <v>Options None</v>
      </c>
      <c r="U107" s="116">
        <f>VLOOKUP(F107,informatieblad!$A$37:$D$41,2,FALSE)</f>
        <v>0</v>
      </c>
      <c r="V107" s="116">
        <f>VLOOKUP(F107,informatieblad!$A$37:$D$41,4,FALSE)</f>
        <v>0</v>
      </c>
      <c r="W107" s="117">
        <f>((IF(D105&lt;=900,AC107,IF(D105&gt;=900,AE107))))</f>
        <v>45.1248</v>
      </c>
      <c r="X107" s="118">
        <f>((IF(D105&lt;=900,AB107,IF(D105&gt;=900,AD107))))</f>
        <v>0</v>
      </c>
      <c r="Y107" s="119"/>
      <c r="Z107" s="119">
        <f>(MAX(B105:C105))</f>
        <v>0</v>
      </c>
      <c r="AA107" s="119">
        <f>LOOKUP(Z107,informatieblad!$C$27:$C$32,informatieblad!$A$27:$A$32)</f>
        <v>0.5</v>
      </c>
      <c r="AB107" s="118">
        <f>VLOOKUP(AA107,informatieblad!$A$27:$M$32,6,FALSE)</f>
        <v>0</v>
      </c>
      <c r="AC107" s="118">
        <f>VLOOKUP(AA107,informatieblad!$A$27:$M$32,8,FALSE)</f>
        <v>45.1248</v>
      </c>
      <c r="AD107" s="118">
        <f>VLOOKUP(AA107,informatieblad!$A$27:$M$32,9,FALSE)</f>
        <v>0</v>
      </c>
      <c r="AE107" s="118">
        <f>VLOOKUP(AA107,informatieblad!$A$27:$M$32,11,FALSE)</f>
        <v>32.463200000000001</v>
      </c>
      <c r="AF107" s="120">
        <f>VLOOKUP(AA107,informatieblad!$A$27:$M$32,13,FALSE)</f>
        <v>4</v>
      </c>
      <c r="AG107" s="121">
        <f>ROUND((AF107*P107),1)</f>
        <v>0</v>
      </c>
      <c r="AI107" s="111">
        <f>(IF(B106=AI105,((2*B105)+(2*C105)),IF(B106=AI106,((2*B105)+(2*C105)),0)))*C107</f>
        <v>0</v>
      </c>
      <c r="AJ107" s="261">
        <f>(IF(C106=AI105,((2*B105)+(2*C105)),IF(C106=AI106,((2*B105)+(2*C105)),0)))*C107</f>
        <v>0</v>
      </c>
      <c r="AK107" s="111">
        <f>(IF(B106=AK105,((2*B105)+(2*C105)),IF(B106=AK106,((2*B105)+(2*C105)),0)))*C107</f>
        <v>0</v>
      </c>
      <c r="AL107" s="260">
        <f>(IF(C106=AK105,((2*B105)+(2*C105)),IF(C106=AK106,((2*B105)+(2*C105)),0)))*C107</f>
        <v>0</v>
      </c>
      <c r="AM107" s="261">
        <f>(IF(B106=AM105,((2*B105)+(2*C105)),IF(B106=AM106,((2*B105)+(2*C105)),0)))*C107</f>
        <v>0</v>
      </c>
      <c r="AN107" s="260">
        <f>(IF(C106=AM105,((2*B105)+(2*C105)),IF(C106=AM106,((2*B105)+(2*C105)),0)))*C107</f>
        <v>0</v>
      </c>
      <c r="AO107" s="111">
        <f>(IF(B106=AO105,((2*B105)+(2*C105)),0))*C107</f>
        <v>0</v>
      </c>
      <c r="AP107" s="260">
        <f>(IF(C106=AO105,((2*B105)+(2*C105)),0))*C107</f>
        <v>0</v>
      </c>
      <c r="AR107" s="268">
        <f>D105*C107</f>
        <v>0</v>
      </c>
      <c r="AT107" s="83" t="str">
        <f>'UC mounting materials '!$B$11</f>
        <v>Rail 41x41</v>
      </c>
      <c r="AU107" s="268">
        <f>IF(Z107&gt;999,(Z107+100),0)*C107</f>
        <v>0</v>
      </c>
      <c r="AW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AX107" s="275" t="str">
        <f>IF(C106=informatieblad!$A$6,informatieblad!$B$6,IF(C106=informatieblad!$A$7,informatieblad!$B$7,IF(C106=informatieblad!$A$8,informatieblad!$B$8,IF(C106=informatieblad!$A$2,informatieblad!$B$2,IF(C106=informatieblad!$A$3,informatieblad!$B$3,IF(C106=informatieblad!$A$4,informatieblad!$B$4,IF(C106=informatieblad!$A$5,informatieblad!$B$5,"")))))))</f>
        <v/>
      </c>
      <c r="AY107" s="276">
        <f>IF(AW107=AY105,(4*C107),0)</f>
        <v>0</v>
      </c>
      <c r="AZ107" s="276">
        <f>IF(AX107=AY105,(4*C107),0)</f>
        <v>0</v>
      </c>
      <c r="BA107" s="276">
        <f>IF(AW107=BA105,(4*C107),0)</f>
        <v>0</v>
      </c>
      <c r="BB107" s="274">
        <f>IF(AX107=BA105,(4*C107),0)</f>
        <v>0</v>
      </c>
    </row>
    <row r="108" spans="1:54" ht="5.0999999999999996" customHeight="1" thickBot="1">
      <c r="A108" s="335"/>
      <c r="B108" s="88"/>
      <c r="C108" s="336"/>
      <c r="D108" s="337"/>
      <c r="E108" s="174"/>
      <c r="F108" s="336"/>
      <c r="G108" s="338"/>
      <c r="H108" s="338"/>
      <c r="M108" s="83"/>
      <c r="N108" s="142"/>
      <c r="O108" s="142"/>
      <c r="P108" s="142"/>
      <c r="Q108" s="142"/>
      <c r="R108" s="143"/>
      <c r="S108" s="143"/>
      <c r="T108" s="339"/>
      <c r="U108" s="340"/>
      <c r="V108" s="340"/>
      <c r="W108" s="341"/>
      <c r="X108" s="144"/>
      <c r="Y108" s="83"/>
      <c r="Z108" s="83"/>
      <c r="AA108" s="83"/>
      <c r="AB108" s="144"/>
      <c r="AC108" s="144"/>
      <c r="AD108" s="144"/>
      <c r="AE108" s="144"/>
      <c r="AF108" s="142"/>
      <c r="AG108" s="142"/>
      <c r="AT108" s="83"/>
      <c r="BB108" s="273"/>
    </row>
    <row r="109" spans="1:54" ht="15.75" customHeight="1" thickBot="1">
      <c r="A109" s="445"/>
      <c r="B109" s="96"/>
      <c r="C109" s="96"/>
      <c r="D109" s="96"/>
      <c r="E109" s="448"/>
      <c r="F109" s="449"/>
      <c r="G109" s="449"/>
      <c r="H109" s="450"/>
      <c r="I109" s="345" t="s">
        <v>20</v>
      </c>
      <c r="M109" s="97" t="s">
        <v>14</v>
      </c>
      <c r="N109" s="98" t="s">
        <v>27</v>
      </c>
      <c r="O109" s="98" t="s">
        <v>28</v>
      </c>
      <c r="P109" s="98" t="s">
        <v>27</v>
      </c>
      <c r="Q109" s="98" t="s">
        <v>28</v>
      </c>
      <c r="R109" s="98" t="s">
        <v>29</v>
      </c>
      <c r="S109" s="66" t="s">
        <v>30</v>
      </c>
      <c r="T109" s="99" t="s">
        <v>31</v>
      </c>
      <c r="U109" s="99"/>
      <c r="V109" s="99"/>
      <c r="W109" s="98" t="s">
        <v>32</v>
      </c>
      <c r="X109" s="98" t="s">
        <v>32</v>
      </c>
      <c r="Y109" s="98"/>
      <c r="Z109" s="98" t="s">
        <v>33</v>
      </c>
      <c r="AA109" s="100" t="s">
        <v>34</v>
      </c>
      <c r="AB109" s="98" t="s">
        <v>32</v>
      </c>
      <c r="AC109" s="98" t="s">
        <v>32</v>
      </c>
      <c r="AD109" s="98" t="s">
        <v>32</v>
      </c>
      <c r="AE109" s="98" t="s">
        <v>32</v>
      </c>
      <c r="AF109" s="98" t="s">
        <v>58</v>
      </c>
      <c r="AG109" s="101" t="s">
        <v>36</v>
      </c>
      <c r="AI109" s="97" t="str">
        <f>informatieblad!$A$6</f>
        <v>FL20</v>
      </c>
      <c r="AJ109" s="99"/>
      <c r="AK109" s="97" t="str">
        <f>informatieblad!$A$7</f>
        <v>FL30</v>
      </c>
      <c r="AL109" s="66"/>
      <c r="AM109" s="99" t="str">
        <f>informatieblad!$A$8</f>
        <v>FL40</v>
      </c>
      <c r="AN109" s="66"/>
      <c r="AO109" s="97" t="str">
        <f>informatieblad!$A$5</f>
        <v>none</v>
      </c>
      <c r="AP109" s="264"/>
      <c r="AR109" s="266" t="s">
        <v>17</v>
      </c>
      <c r="AT109" s="83"/>
      <c r="AU109" s="266" t="s">
        <v>37</v>
      </c>
      <c r="AW109" s="269" t="s">
        <v>38</v>
      </c>
      <c r="AX109" s="272"/>
      <c r="AY109" s="272">
        <f>informatieblad!$B$3</f>
        <v>0</v>
      </c>
      <c r="AZ109" s="272">
        <f>informatieblad!$B$3</f>
        <v>0</v>
      </c>
      <c r="BA109" s="272">
        <f>informatieblad!$B$4</f>
        <v>0</v>
      </c>
      <c r="BB109" s="264">
        <f>informatieblad!$B$4</f>
        <v>0</v>
      </c>
    </row>
    <row r="110" spans="1:54" ht="15.75" customHeight="1">
      <c r="A110" s="446"/>
      <c r="B110" s="102" t="str">
        <f>IF($C111&gt;0,IF(MAX(B109:C109)&lt;informatieblad!$Q$4,informatieblad!$P$3,IF(MAX(B109:C109)&gt;informatieblad!$R$4,informatieblad!$P$5,informatieblad!$P$4)),"")</f>
        <v/>
      </c>
      <c r="C110" s="102" t="str">
        <f>IF($C111&gt;0,IF(MAX(B109:C109)&lt;informatieblad!$Q$4,informatieblad!$P$3,IF(MAX(B109:C109)&gt;informatieblad!$R$4,informatieblad!$P$5,informatieblad!$P$4)),"")</f>
        <v/>
      </c>
      <c r="D110" s="88"/>
      <c r="E110" s="89" t="str">
        <f>A109&amp;"-"&amp;informatieblad!$B$12&amp;"-"&amp;B109&amp;"-"&amp;C109&amp;"-"&amp;D109&amp;"-"&amp;B110&amp;"-"&amp;C110&amp;"-"&amp;F111</f>
        <v>-RctD------Options None</v>
      </c>
      <c r="F110" s="90"/>
      <c r="G110" s="90"/>
      <c r="H110" s="91"/>
      <c r="M110" s="103">
        <f>A109</f>
        <v>0</v>
      </c>
      <c r="N110" s="104" t="s">
        <v>39</v>
      </c>
      <c r="O110" s="104" t="s">
        <v>39</v>
      </c>
      <c r="P110" s="104" t="s">
        <v>40</v>
      </c>
      <c r="Q110" s="104" t="s">
        <v>40</v>
      </c>
      <c r="R110" s="104" t="s">
        <v>40</v>
      </c>
      <c r="S110" s="105"/>
      <c r="T110" s="106" t="s">
        <v>27</v>
      </c>
      <c r="U110" s="106" t="s">
        <v>40</v>
      </c>
      <c r="V110" s="106" t="s">
        <v>41</v>
      </c>
      <c r="W110" s="104" t="s">
        <v>42</v>
      </c>
      <c r="X110" s="104" t="s">
        <v>43</v>
      </c>
      <c r="Y110" s="104"/>
      <c r="Z110" s="104" t="s">
        <v>44</v>
      </c>
      <c r="AA110" s="107"/>
      <c r="AB110" s="104" t="s">
        <v>45</v>
      </c>
      <c r="AC110" s="104" t="s">
        <v>42</v>
      </c>
      <c r="AD110" s="104" t="s">
        <v>43</v>
      </c>
      <c r="AE110" s="104" t="s">
        <v>46</v>
      </c>
      <c r="AF110" s="108"/>
      <c r="AG110" s="109"/>
      <c r="AI110" s="262" t="str">
        <f>informatieblad!$A$2</f>
        <v>FL20 loose</v>
      </c>
      <c r="AJ110" s="263"/>
      <c r="AK110" s="262" t="str">
        <f>informatieblad!$A$3</f>
        <v>FL30 loose</v>
      </c>
      <c r="AL110" s="105"/>
      <c r="AM110" s="263" t="str">
        <f>informatieblad!$A$4</f>
        <v>FL40 loose</v>
      </c>
      <c r="AN110" s="105"/>
      <c r="AO110" s="265"/>
      <c r="AP110" s="105"/>
      <c r="AR110" s="267"/>
      <c r="AT110" s="83" t="str">
        <f>'UC mounting materials '!$B$10</f>
        <v>Rail 30x15</v>
      </c>
      <c r="AU110" s="327">
        <f>IF(Z111&lt;1000,(Z111+100),0)*C111</f>
        <v>0</v>
      </c>
      <c r="AW110" s="265" t="s">
        <v>47</v>
      </c>
      <c r="AX110" s="106" t="s">
        <v>48</v>
      </c>
      <c r="AY110" s="83" t="s">
        <v>23</v>
      </c>
      <c r="AZ110" s="83" t="s">
        <v>23</v>
      </c>
      <c r="BA110" s="83" t="s">
        <v>23</v>
      </c>
      <c r="BB110" s="273" t="s">
        <v>23</v>
      </c>
    </row>
    <row r="111" spans="1:54" ht="15.75" customHeight="1" thickBot="1">
      <c r="A111" s="447"/>
      <c r="B111" s="92" t="s">
        <v>23</v>
      </c>
      <c r="C111" s="110"/>
      <c r="D111" s="94">
        <f>C111*O111</f>
        <v>0</v>
      </c>
      <c r="E111" s="95" t="s">
        <v>24</v>
      </c>
      <c r="F111" s="451" t="s">
        <v>25</v>
      </c>
      <c r="G111" s="452"/>
      <c r="H111" s="453"/>
      <c r="M111" s="111"/>
      <c r="N111" s="112">
        <f>(((2*(B109+C109))*D109)/1000000)</f>
        <v>0</v>
      </c>
      <c r="O111" s="112">
        <f>((IF(N111&lt;=informatieblad!$I$12,informatieblad!$I$12,IF(N111&gt;=informatieblad!$I$12,N111))))</f>
        <v>0.5</v>
      </c>
      <c r="P111" s="112">
        <f>(((2*B109)+(2*C109))*D109)/1000000</f>
        <v>0</v>
      </c>
      <c r="Q111" s="112">
        <f>((IF(P111&lt;=informatieblad!$H$12,informatieblad!$H$12,IF(P111&gt;=informatieblad!$H$12,P111))))</f>
        <v>0</v>
      </c>
      <c r="R111" s="113">
        <f>((Q111*X111)+(Q111*U111))*C111</f>
        <v>0</v>
      </c>
      <c r="S111" s="114">
        <f>((O111*W111)+(O111*V111))*C111</f>
        <v>0</v>
      </c>
      <c r="T111" s="115" t="str">
        <f>F111</f>
        <v>Options None</v>
      </c>
      <c r="U111" s="116">
        <f>VLOOKUP(F111,informatieblad!$A$37:$D$41,2,FALSE)</f>
        <v>0</v>
      </c>
      <c r="V111" s="116">
        <f>VLOOKUP(F111,informatieblad!$A$37:$D$41,4,FALSE)</f>
        <v>0</v>
      </c>
      <c r="W111" s="117">
        <f>((IF(D109&lt;=900,AC111,IF(D109&gt;=900,AE111))))</f>
        <v>45.1248</v>
      </c>
      <c r="X111" s="118">
        <f>((IF(D109&lt;=900,AB111,IF(D109&gt;=900,AD111))))</f>
        <v>0</v>
      </c>
      <c r="Y111" s="119"/>
      <c r="Z111" s="119">
        <f>(MAX(B109:C109))</f>
        <v>0</v>
      </c>
      <c r="AA111" s="119">
        <f>LOOKUP(Z111,informatieblad!$C$27:$C$32,informatieblad!$A$27:$A$32)</f>
        <v>0.5</v>
      </c>
      <c r="AB111" s="118">
        <f>VLOOKUP(AA111,informatieblad!$A$27:$M$32,6,FALSE)</f>
        <v>0</v>
      </c>
      <c r="AC111" s="118">
        <f>VLOOKUP(AA111,informatieblad!$A$27:$M$32,8,FALSE)</f>
        <v>45.1248</v>
      </c>
      <c r="AD111" s="118">
        <f>VLOOKUP(AA111,informatieblad!$A$27:$M$32,9,FALSE)</f>
        <v>0</v>
      </c>
      <c r="AE111" s="118">
        <f>VLOOKUP(AA111,informatieblad!$A$27:$M$32,11,FALSE)</f>
        <v>32.463200000000001</v>
      </c>
      <c r="AF111" s="120">
        <f>VLOOKUP(AA111,informatieblad!$A$27:$M$32,13,FALSE)</f>
        <v>4</v>
      </c>
      <c r="AG111" s="121">
        <f>ROUND((AF111*P111),1)</f>
        <v>0</v>
      </c>
      <c r="AI111" s="111">
        <f>(IF(B110=AI109,((2*B109)+(2*C109)),IF(B110=AI110,((2*B109)+(2*C109)),0)))*C111</f>
        <v>0</v>
      </c>
      <c r="AJ111" s="261">
        <f>(IF(C110=AI109,((2*B109)+(2*C109)),IF(C110=AI110,((2*B109)+(2*C109)),0)))*C111</f>
        <v>0</v>
      </c>
      <c r="AK111" s="111">
        <f>(IF(B110=AK109,((2*B109)+(2*C109)),IF(B110=AK110,((2*B109)+(2*C109)),0)))*C111</f>
        <v>0</v>
      </c>
      <c r="AL111" s="260">
        <f>(IF(C110=AK109,((2*B109)+(2*C109)),IF(C110=AK110,((2*B109)+(2*C109)),0)))*C111</f>
        <v>0</v>
      </c>
      <c r="AM111" s="261">
        <f>(IF(B110=AM109,((2*B109)+(2*C109)),IF(B110=AM110,((2*B109)+(2*C109)),0)))*C111</f>
        <v>0</v>
      </c>
      <c r="AN111" s="260">
        <f>(IF(C110=AM109,((2*B109)+(2*C109)),IF(C110=AM110,((2*B109)+(2*C109)),0)))*C111</f>
        <v>0</v>
      </c>
      <c r="AO111" s="111">
        <f>(IF(B110=AO109,((2*B109)+(2*C109)),0))*C111</f>
        <v>0</v>
      </c>
      <c r="AP111" s="260">
        <f>(IF(C110=AO109,((2*B109)+(2*C109)),0))*C111</f>
        <v>0</v>
      </c>
      <c r="AR111" s="268">
        <f>D109*C111</f>
        <v>0</v>
      </c>
      <c r="AT111" s="83" t="str">
        <f>'UC mounting materials '!$B$11</f>
        <v>Rail 41x41</v>
      </c>
      <c r="AU111" s="268">
        <f>IF(Z111&gt;999,(Z111+100),0)*C111</f>
        <v>0</v>
      </c>
      <c r="AW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AX111" s="275" t="str">
        <f>IF(C110=informatieblad!$A$6,informatieblad!$B$6,IF(C110=informatieblad!$A$7,informatieblad!$B$7,IF(C110=informatieblad!$A$8,informatieblad!$B$8,IF(C110=informatieblad!$A$2,informatieblad!$B$2,IF(C110=informatieblad!$A$3,informatieblad!$B$3,IF(C110=informatieblad!$A$4,informatieblad!$B$4,IF(C110=informatieblad!$A$5,informatieblad!$B$5,"")))))))</f>
        <v/>
      </c>
      <c r="AY111" s="276">
        <f>IF(AW111=AY109,(4*C111),0)</f>
        <v>0</v>
      </c>
      <c r="AZ111" s="276">
        <f>IF(AX111=AY109,(4*C111),0)</f>
        <v>0</v>
      </c>
      <c r="BA111" s="276">
        <f>IF(AW111=BA109,(4*C111),0)</f>
        <v>0</v>
      </c>
      <c r="BB111" s="274">
        <f>IF(AX111=BA109,(4*C111),0)</f>
        <v>0</v>
      </c>
    </row>
    <row r="112" spans="1:54" ht="5.0999999999999996" customHeight="1" thickBot="1">
      <c r="A112" s="335"/>
      <c r="B112" s="88"/>
      <c r="C112" s="336"/>
      <c r="D112" s="337"/>
      <c r="E112" s="174"/>
      <c r="F112" s="336"/>
      <c r="G112" s="338"/>
      <c r="H112" s="338"/>
      <c r="M112" s="83"/>
      <c r="N112" s="142"/>
      <c r="O112" s="142"/>
      <c r="P112" s="142"/>
      <c r="Q112" s="142"/>
      <c r="R112" s="143"/>
      <c r="S112" s="143"/>
      <c r="T112" s="339"/>
      <c r="U112" s="340"/>
      <c r="V112" s="340"/>
      <c r="W112" s="341"/>
      <c r="X112" s="144"/>
      <c r="Y112" s="83"/>
      <c r="Z112" s="83"/>
      <c r="AA112" s="83"/>
      <c r="AB112" s="144"/>
      <c r="AC112" s="144"/>
      <c r="AD112" s="144"/>
      <c r="AE112" s="144"/>
      <c r="AF112" s="142"/>
      <c r="AG112" s="142"/>
      <c r="AT112" s="83"/>
      <c r="BB112" s="273"/>
    </row>
    <row r="113" spans="1:54" ht="15.75" customHeight="1" thickBot="1">
      <c r="A113" s="445"/>
      <c r="B113" s="96"/>
      <c r="C113" s="96"/>
      <c r="D113" s="96"/>
      <c r="E113" s="448"/>
      <c r="F113" s="449"/>
      <c r="G113" s="449"/>
      <c r="H113" s="450"/>
      <c r="I113" s="345" t="s">
        <v>20</v>
      </c>
      <c r="M113" s="97" t="s">
        <v>14</v>
      </c>
      <c r="N113" s="98" t="s">
        <v>27</v>
      </c>
      <c r="O113" s="98" t="s">
        <v>28</v>
      </c>
      <c r="P113" s="98" t="s">
        <v>27</v>
      </c>
      <c r="Q113" s="98" t="s">
        <v>28</v>
      </c>
      <c r="R113" s="98" t="s">
        <v>29</v>
      </c>
      <c r="S113" s="66" t="s">
        <v>30</v>
      </c>
      <c r="T113" s="99" t="s">
        <v>31</v>
      </c>
      <c r="U113" s="99"/>
      <c r="V113" s="99"/>
      <c r="W113" s="98" t="s">
        <v>32</v>
      </c>
      <c r="X113" s="98" t="s">
        <v>32</v>
      </c>
      <c r="Y113" s="98"/>
      <c r="Z113" s="98" t="s">
        <v>33</v>
      </c>
      <c r="AA113" s="100" t="s">
        <v>34</v>
      </c>
      <c r="AB113" s="98" t="s">
        <v>32</v>
      </c>
      <c r="AC113" s="98" t="s">
        <v>32</v>
      </c>
      <c r="AD113" s="98" t="s">
        <v>32</v>
      </c>
      <c r="AE113" s="98" t="s">
        <v>32</v>
      </c>
      <c r="AF113" s="98" t="s">
        <v>59</v>
      </c>
      <c r="AG113" s="101" t="s">
        <v>36</v>
      </c>
      <c r="AI113" s="97" t="str">
        <f>informatieblad!$A$6</f>
        <v>FL20</v>
      </c>
      <c r="AJ113" s="99"/>
      <c r="AK113" s="97" t="str">
        <f>informatieblad!$A$7</f>
        <v>FL30</v>
      </c>
      <c r="AL113" s="66"/>
      <c r="AM113" s="99" t="str">
        <f>informatieblad!$A$8</f>
        <v>FL40</v>
      </c>
      <c r="AN113" s="66"/>
      <c r="AO113" s="97" t="str">
        <f>informatieblad!$A$5</f>
        <v>none</v>
      </c>
      <c r="AP113" s="264"/>
      <c r="AR113" s="266" t="s">
        <v>17</v>
      </c>
      <c r="AT113" s="83"/>
      <c r="AU113" s="266" t="s">
        <v>37</v>
      </c>
      <c r="AW113" s="269" t="s">
        <v>38</v>
      </c>
      <c r="AX113" s="272"/>
      <c r="AY113" s="272">
        <f>informatieblad!$B$3</f>
        <v>0</v>
      </c>
      <c r="AZ113" s="272">
        <f>informatieblad!$B$3</f>
        <v>0</v>
      </c>
      <c r="BA113" s="272">
        <f>informatieblad!$B$4</f>
        <v>0</v>
      </c>
      <c r="BB113" s="264">
        <f>informatieblad!$B$4</f>
        <v>0</v>
      </c>
    </row>
    <row r="114" spans="1:54" ht="15.75" customHeight="1">
      <c r="A114" s="446"/>
      <c r="B114" s="102" t="str">
        <f>IF($C115&gt;0,IF(MAX(B113:C113)&lt;informatieblad!$Q$4,informatieblad!$P$3,IF(MAX(B113:C113)&gt;informatieblad!$R$4,informatieblad!$P$5,informatieblad!$P$4)),"")</f>
        <v/>
      </c>
      <c r="C114" s="102" t="str">
        <f>IF($C115&gt;0,IF(MAX(B113:C113)&lt;informatieblad!$Q$4,informatieblad!$P$3,IF(MAX(B113:C113)&gt;informatieblad!$R$4,informatieblad!$P$5,informatieblad!$P$4)),"")</f>
        <v/>
      </c>
      <c r="D114" s="88"/>
      <c r="E114" s="89" t="str">
        <f>A113&amp;"-"&amp;informatieblad!$B$12&amp;"-"&amp;B113&amp;"-"&amp;C113&amp;"-"&amp;D113&amp;"-"&amp;B114&amp;"-"&amp;C114&amp;"-"&amp;F115</f>
        <v>-RctD------Options None</v>
      </c>
      <c r="F114" s="90"/>
      <c r="G114" s="90"/>
      <c r="H114" s="91"/>
      <c r="M114" s="103">
        <f>A113</f>
        <v>0</v>
      </c>
      <c r="N114" s="104" t="s">
        <v>39</v>
      </c>
      <c r="O114" s="104" t="s">
        <v>39</v>
      </c>
      <c r="P114" s="104" t="s">
        <v>40</v>
      </c>
      <c r="Q114" s="104" t="s">
        <v>40</v>
      </c>
      <c r="R114" s="104" t="s">
        <v>40</v>
      </c>
      <c r="S114" s="105"/>
      <c r="T114" s="106" t="s">
        <v>27</v>
      </c>
      <c r="U114" s="106" t="s">
        <v>40</v>
      </c>
      <c r="V114" s="106" t="s">
        <v>41</v>
      </c>
      <c r="W114" s="104" t="s">
        <v>42</v>
      </c>
      <c r="X114" s="104" t="s">
        <v>43</v>
      </c>
      <c r="Y114" s="104"/>
      <c r="Z114" s="104" t="s">
        <v>44</v>
      </c>
      <c r="AA114" s="107"/>
      <c r="AB114" s="104" t="s">
        <v>45</v>
      </c>
      <c r="AC114" s="104" t="s">
        <v>42</v>
      </c>
      <c r="AD114" s="104" t="s">
        <v>43</v>
      </c>
      <c r="AE114" s="104" t="s">
        <v>46</v>
      </c>
      <c r="AF114" s="108"/>
      <c r="AG114" s="109"/>
      <c r="AI114" s="262" t="str">
        <f>informatieblad!$A$2</f>
        <v>FL20 loose</v>
      </c>
      <c r="AJ114" s="263"/>
      <c r="AK114" s="262" t="str">
        <f>informatieblad!$A$3</f>
        <v>FL30 loose</v>
      </c>
      <c r="AL114" s="105"/>
      <c r="AM114" s="263" t="str">
        <f>informatieblad!$A$4</f>
        <v>FL40 loose</v>
      </c>
      <c r="AN114" s="105"/>
      <c r="AO114" s="265"/>
      <c r="AP114" s="105"/>
      <c r="AR114" s="267"/>
      <c r="AT114" s="83" t="str">
        <f>'UC mounting materials '!$B$10</f>
        <v>Rail 30x15</v>
      </c>
      <c r="AU114" s="327">
        <f>IF(Z115&lt;1000,(Z115+100),0)*C115</f>
        <v>0</v>
      </c>
      <c r="AW114" s="265" t="s">
        <v>47</v>
      </c>
      <c r="AX114" s="106" t="s">
        <v>48</v>
      </c>
      <c r="AY114" s="83" t="s">
        <v>23</v>
      </c>
      <c r="AZ114" s="83" t="s">
        <v>23</v>
      </c>
      <c r="BA114" s="83" t="s">
        <v>23</v>
      </c>
      <c r="BB114" s="273" t="s">
        <v>23</v>
      </c>
    </row>
    <row r="115" spans="1:54" ht="15.75" customHeight="1" thickBot="1">
      <c r="A115" s="447"/>
      <c r="B115" s="92" t="s">
        <v>23</v>
      </c>
      <c r="C115" s="110"/>
      <c r="D115" s="94">
        <f>C115*O115</f>
        <v>0</v>
      </c>
      <c r="E115" s="95" t="s">
        <v>24</v>
      </c>
      <c r="F115" s="451" t="s">
        <v>25</v>
      </c>
      <c r="G115" s="452"/>
      <c r="H115" s="453"/>
      <c r="M115" s="111"/>
      <c r="N115" s="112">
        <f>(((2*(B113+C113))*D113)/1000000)</f>
        <v>0</v>
      </c>
      <c r="O115" s="112">
        <f>((IF(N115&lt;=informatieblad!$I$12,informatieblad!$I$12,IF(N115&gt;=informatieblad!$I$12,N115))))</f>
        <v>0.5</v>
      </c>
      <c r="P115" s="112">
        <f>(((2*B113)+(2*C113))*D113)/1000000</f>
        <v>0</v>
      </c>
      <c r="Q115" s="112">
        <f>((IF(P115&lt;=informatieblad!$H$12,informatieblad!$H$12,IF(P115&gt;=informatieblad!$H$12,P115))))</f>
        <v>0</v>
      </c>
      <c r="R115" s="113">
        <f>((Q115*X115)+(Q115*U115))*C115</f>
        <v>0</v>
      </c>
      <c r="S115" s="114">
        <f>((O115*W115)+(O115*V115))*C115</f>
        <v>0</v>
      </c>
      <c r="T115" s="115" t="str">
        <f>F115</f>
        <v>Options None</v>
      </c>
      <c r="U115" s="116">
        <f>VLOOKUP(F115,informatieblad!$A$37:$D$41,2,FALSE)</f>
        <v>0</v>
      </c>
      <c r="V115" s="116">
        <f>VLOOKUP(F115,informatieblad!$A$37:$D$41,4,FALSE)</f>
        <v>0</v>
      </c>
      <c r="W115" s="117">
        <f>((IF(D113&lt;=900,AC115,IF(D113&gt;=900,AE115))))</f>
        <v>45.1248</v>
      </c>
      <c r="X115" s="118">
        <f>((IF(D113&lt;=900,AB115,IF(D113&gt;=900,AD115))))</f>
        <v>0</v>
      </c>
      <c r="Y115" s="119"/>
      <c r="Z115" s="119">
        <f>(MAX(B113:C113))</f>
        <v>0</v>
      </c>
      <c r="AA115" s="119">
        <f>LOOKUP(Z115,informatieblad!$C$27:$C$32,informatieblad!$A$27:$A$32)</f>
        <v>0.5</v>
      </c>
      <c r="AB115" s="118">
        <f>VLOOKUP(AA115,informatieblad!$A$27:$M$32,6,FALSE)</f>
        <v>0</v>
      </c>
      <c r="AC115" s="118">
        <f>VLOOKUP(AA115,informatieblad!$A$27:$M$32,8,FALSE)</f>
        <v>45.1248</v>
      </c>
      <c r="AD115" s="118">
        <f>VLOOKUP(AA115,informatieblad!$A$27:$M$32,9,FALSE)</f>
        <v>0</v>
      </c>
      <c r="AE115" s="118">
        <f>VLOOKUP(AA115,informatieblad!$A$27:$M$32,11,FALSE)</f>
        <v>32.463200000000001</v>
      </c>
      <c r="AF115" s="120">
        <f>VLOOKUP(AA115,informatieblad!$A$27:$M$32,13,FALSE)</f>
        <v>4</v>
      </c>
      <c r="AG115" s="121">
        <f>ROUND((AF115*P115),1)</f>
        <v>0</v>
      </c>
      <c r="AI115" s="111">
        <f>(IF(B114=AI113,((2*B113)+(2*C113)),IF(B114=AI114,((2*B113)+(2*C113)),0)))*C115</f>
        <v>0</v>
      </c>
      <c r="AJ115" s="261">
        <f>(IF(C114=AI113,((2*B113)+(2*C113)),IF(C114=AI114,((2*B113)+(2*C113)),0)))*C115</f>
        <v>0</v>
      </c>
      <c r="AK115" s="111">
        <f>(IF(B114=AK113,((2*B113)+(2*C113)),IF(B114=AK114,((2*B113)+(2*C113)),0)))*C115</f>
        <v>0</v>
      </c>
      <c r="AL115" s="260">
        <f>(IF(C114=AK113,((2*B113)+(2*C113)),IF(C114=AK114,((2*B113)+(2*C113)),0)))*C115</f>
        <v>0</v>
      </c>
      <c r="AM115" s="261">
        <f>(IF(B114=AM113,((2*B113)+(2*C113)),IF(B114=AM114,((2*B113)+(2*C113)),0)))*C115</f>
        <v>0</v>
      </c>
      <c r="AN115" s="260">
        <f>(IF(C114=AM113,((2*B113)+(2*C113)),IF(C114=AM114,((2*B113)+(2*C113)),0)))*C115</f>
        <v>0</v>
      </c>
      <c r="AO115" s="111">
        <f>(IF(B114=AO113,((2*B113)+(2*C113)),0))*C115</f>
        <v>0</v>
      </c>
      <c r="AP115" s="260">
        <f>(IF(C114=AO113,((2*B113)+(2*C113)),0))*C115</f>
        <v>0</v>
      </c>
      <c r="AR115" s="268">
        <f>D113*C115</f>
        <v>0</v>
      </c>
      <c r="AT115" s="83" t="str">
        <f>'UC mounting materials '!$B$11</f>
        <v>Rail 41x41</v>
      </c>
      <c r="AU115" s="268">
        <f>IF(Z115&gt;999,(Z115+100),0)*C115</f>
        <v>0</v>
      </c>
      <c r="AW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AX115" s="275" t="str">
        <f>IF(C114=informatieblad!$A$6,informatieblad!$B$6,IF(C114=informatieblad!$A$7,informatieblad!$B$7,IF(C114=informatieblad!$A$8,informatieblad!$B$8,IF(C114=informatieblad!$A$2,informatieblad!$B$2,IF(C114=informatieblad!$A$3,informatieblad!$B$3,IF(C114=informatieblad!$A$4,informatieblad!$B$4,IF(C114=informatieblad!$A$5,informatieblad!$B$5,"")))))))</f>
        <v/>
      </c>
      <c r="AY115" s="276">
        <f>IF(AW115=AY113,(4*C115),0)</f>
        <v>0</v>
      </c>
      <c r="AZ115" s="276">
        <f>IF(AX115=AY113,(4*C115),0)</f>
        <v>0</v>
      </c>
      <c r="BA115" s="276">
        <f>IF(AW115=BA113,(4*C115),0)</f>
        <v>0</v>
      </c>
      <c r="BB115" s="274">
        <f>IF(AX115=BA113,(4*C115),0)</f>
        <v>0</v>
      </c>
    </row>
    <row r="116" spans="1:54" ht="5.0999999999999996" customHeight="1" thickBot="1">
      <c r="A116" s="335"/>
      <c r="B116" s="88"/>
      <c r="C116" s="336"/>
      <c r="D116" s="337"/>
      <c r="E116" s="174"/>
      <c r="F116" s="336"/>
      <c r="G116" s="338"/>
      <c r="H116" s="338"/>
      <c r="M116" s="83"/>
      <c r="N116" s="142"/>
      <c r="O116" s="142"/>
      <c r="P116" s="142"/>
      <c r="Q116" s="142"/>
      <c r="R116" s="143"/>
      <c r="S116" s="143"/>
      <c r="T116" s="339"/>
      <c r="U116" s="340"/>
      <c r="V116" s="340"/>
      <c r="W116" s="341"/>
      <c r="X116" s="144"/>
      <c r="Y116" s="83"/>
      <c r="Z116" s="83"/>
      <c r="AA116" s="83"/>
      <c r="AB116" s="144"/>
      <c r="AC116" s="144"/>
      <c r="AD116" s="144"/>
      <c r="AE116" s="144"/>
      <c r="AF116" s="142"/>
      <c r="AG116" s="142"/>
      <c r="AT116" s="83"/>
      <c r="BB116" s="273"/>
    </row>
    <row r="117" spans="1:54" ht="15.75" customHeight="1" thickBot="1">
      <c r="A117" s="445"/>
      <c r="B117" s="96"/>
      <c r="C117" s="96"/>
      <c r="D117" s="96"/>
      <c r="E117" s="448"/>
      <c r="F117" s="449"/>
      <c r="G117" s="449"/>
      <c r="H117" s="450"/>
      <c r="I117" s="345" t="s">
        <v>20</v>
      </c>
      <c r="M117" s="97" t="s">
        <v>14</v>
      </c>
      <c r="N117" s="98" t="s">
        <v>27</v>
      </c>
      <c r="O117" s="98" t="s">
        <v>28</v>
      </c>
      <c r="P117" s="98" t="s">
        <v>27</v>
      </c>
      <c r="Q117" s="98" t="s">
        <v>28</v>
      </c>
      <c r="R117" s="98" t="s">
        <v>29</v>
      </c>
      <c r="S117" s="66" t="s">
        <v>30</v>
      </c>
      <c r="T117" s="99" t="s">
        <v>31</v>
      </c>
      <c r="U117" s="99"/>
      <c r="V117" s="99"/>
      <c r="W117" s="98" t="s">
        <v>32</v>
      </c>
      <c r="X117" s="98" t="s">
        <v>32</v>
      </c>
      <c r="Y117" s="98"/>
      <c r="Z117" s="98" t="s">
        <v>33</v>
      </c>
      <c r="AA117" s="100" t="s">
        <v>34</v>
      </c>
      <c r="AB117" s="98" t="s">
        <v>32</v>
      </c>
      <c r="AC117" s="98" t="s">
        <v>32</v>
      </c>
      <c r="AD117" s="98" t="s">
        <v>32</v>
      </c>
      <c r="AE117" s="98" t="s">
        <v>32</v>
      </c>
      <c r="AF117" s="98" t="s">
        <v>60</v>
      </c>
      <c r="AG117" s="101" t="s">
        <v>36</v>
      </c>
      <c r="AI117" s="97" t="str">
        <f>informatieblad!$A$6</f>
        <v>FL20</v>
      </c>
      <c r="AJ117" s="99"/>
      <c r="AK117" s="97" t="str">
        <f>informatieblad!$A$7</f>
        <v>FL30</v>
      </c>
      <c r="AL117" s="66"/>
      <c r="AM117" s="99" t="str">
        <f>informatieblad!$A$8</f>
        <v>FL40</v>
      </c>
      <c r="AN117" s="66"/>
      <c r="AO117" s="97" t="str">
        <f>informatieblad!$A$5</f>
        <v>none</v>
      </c>
      <c r="AP117" s="264"/>
      <c r="AR117" s="266" t="s">
        <v>17</v>
      </c>
      <c r="AT117" s="83"/>
      <c r="AU117" s="266" t="s">
        <v>37</v>
      </c>
      <c r="AW117" s="269" t="s">
        <v>38</v>
      </c>
      <c r="AX117" s="272"/>
      <c r="AY117" s="272">
        <f>informatieblad!$B$3</f>
        <v>0</v>
      </c>
      <c r="AZ117" s="272">
        <f>informatieblad!$B$3</f>
        <v>0</v>
      </c>
      <c r="BA117" s="272">
        <f>informatieblad!$B$4</f>
        <v>0</v>
      </c>
      <c r="BB117" s="264">
        <f>informatieblad!$B$4</f>
        <v>0</v>
      </c>
    </row>
    <row r="118" spans="1:54" ht="15.75" customHeight="1">
      <c r="A118" s="446"/>
      <c r="B118" s="102" t="str">
        <f>IF($C119&gt;0,IF(MAX(B117:C117)&lt;informatieblad!$Q$4,informatieblad!$P$3,IF(MAX(B117:C117)&gt;informatieblad!$R$4,informatieblad!$P$5,informatieblad!$P$4)),"")</f>
        <v/>
      </c>
      <c r="C118" s="102" t="str">
        <f>IF($C119&gt;0,IF(MAX(B117:C117)&lt;informatieblad!$Q$4,informatieblad!$P$3,IF(MAX(B117:C117)&gt;informatieblad!$R$4,informatieblad!$P$5,informatieblad!$P$4)),"")</f>
        <v/>
      </c>
      <c r="D118" s="88"/>
      <c r="E118" s="89" t="str">
        <f>A117&amp;"-"&amp;informatieblad!$B$12&amp;"-"&amp;B117&amp;"-"&amp;C117&amp;"-"&amp;D117&amp;"-"&amp;B118&amp;"-"&amp;C118&amp;"-"&amp;F119</f>
        <v>-RctD------Options None</v>
      </c>
      <c r="F118" s="90"/>
      <c r="G118" s="90"/>
      <c r="H118" s="91"/>
      <c r="M118" s="103">
        <f>A117</f>
        <v>0</v>
      </c>
      <c r="N118" s="104" t="s">
        <v>39</v>
      </c>
      <c r="O118" s="104" t="s">
        <v>39</v>
      </c>
      <c r="P118" s="104" t="s">
        <v>40</v>
      </c>
      <c r="Q118" s="104" t="s">
        <v>40</v>
      </c>
      <c r="R118" s="104" t="s">
        <v>40</v>
      </c>
      <c r="S118" s="105"/>
      <c r="T118" s="106" t="s">
        <v>27</v>
      </c>
      <c r="U118" s="106" t="s">
        <v>40</v>
      </c>
      <c r="V118" s="106" t="s">
        <v>41</v>
      </c>
      <c r="W118" s="104" t="s">
        <v>42</v>
      </c>
      <c r="X118" s="104" t="s">
        <v>43</v>
      </c>
      <c r="Y118" s="104"/>
      <c r="Z118" s="104" t="s">
        <v>44</v>
      </c>
      <c r="AA118" s="107"/>
      <c r="AB118" s="104" t="s">
        <v>45</v>
      </c>
      <c r="AC118" s="104" t="s">
        <v>42</v>
      </c>
      <c r="AD118" s="104" t="s">
        <v>43</v>
      </c>
      <c r="AE118" s="104" t="s">
        <v>46</v>
      </c>
      <c r="AF118" s="108"/>
      <c r="AG118" s="109"/>
      <c r="AI118" s="262" t="str">
        <f>informatieblad!$A$2</f>
        <v>FL20 loose</v>
      </c>
      <c r="AJ118" s="263"/>
      <c r="AK118" s="262" t="str">
        <f>informatieblad!$A$3</f>
        <v>FL30 loose</v>
      </c>
      <c r="AL118" s="105"/>
      <c r="AM118" s="263" t="str">
        <f>informatieblad!$A$4</f>
        <v>FL40 loose</v>
      </c>
      <c r="AN118" s="105"/>
      <c r="AO118" s="265"/>
      <c r="AP118" s="105"/>
      <c r="AR118" s="267"/>
      <c r="AT118" s="83" t="str">
        <f>'UC mounting materials '!$B$10</f>
        <v>Rail 30x15</v>
      </c>
      <c r="AU118" s="327">
        <f>IF(Z119&lt;1000,(Z119+100),0)*C119</f>
        <v>0</v>
      </c>
      <c r="AW118" s="265" t="s">
        <v>47</v>
      </c>
      <c r="AX118" s="106" t="s">
        <v>48</v>
      </c>
      <c r="AY118" s="83" t="s">
        <v>23</v>
      </c>
      <c r="AZ118" s="83" t="s">
        <v>23</v>
      </c>
      <c r="BA118" s="83" t="s">
        <v>23</v>
      </c>
      <c r="BB118" s="273" t="s">
        <v>23</v>
      </c>
    </row>
    <row r="119" spans="1:54" ht="15.75" customHeight="1" thickBot="1">
      <c r="A119" s="447"/>
      <c r="B119" s="92" t="s">
        <v>23</v>
      </c>
      <c r="C119" s="110"/>
      <c r="D119" s="94">
        <f>C119*O119</f>
        <v>0</v>
      </c>
      <c r="E119" s="95" t="s">
        <v>24</v>
      </c>
      <c r="F119" s="451" t="s">
        <v>25</v>
      </c>
      <c r="G119" s="452"/>
      <c r="H119" s="453"/>
      <c r="M119" s="111"/>
      <c r="N119" s="112">
        <f>(((2*(B117+C117))*D117)/1000000)</f>
        <v>0</v>
      </c>
      <c r="O119" s="112">
        <f>((IF(N119&lt;=informatieblad!$I$12,informatieblad!$I$12,IF(N119&gt;=informatieblad!$I$12,N119))))</f>
        <v>0.5</v>
      </c>
      <c r="P119" s="112">
        <f>(((2*B117)+(2*C117))*D117)/1000000</f>
        <v>0</v>
      </c>
      <c r="Q119" s="112">
        <f>((IF(P119&lt;=informatieblad!$H$12,informatieblad!$H$12,IF(P119&gt;=informatieblad!$H$12,P119))))</f>
        <v>0</v>
      </c>
      <c r="R119" s="113">
        <f>((Q119*X119)+(Q119*U119))*C119</f>
        <v>0</v>
      </c>
      <c r="S119" s="114">
        <f>((O119*W119)+(O119*V119))*C119</f>
        <v>0</v>
      </c>
      <c r="T119" s="115" t="str">
        <f>F119</f>
        <v>Options None</v>
      </c>
      <c r="U119" s="116">
        <f>VLOOKUP(F119,informatieblad!$A$37:$D$41,2,FALSE)</f>
        <v>0</v>
      </c>
      <c r="V119" s="116">
        <f>VLOOKUP(F119,informatieblad!$A$37:$D$41,4,FALSE)</f>
        <v>0</v>
      </c>
      <c r="W119" s="117">
        <f>((IF(D117&lt;=900,AC119,IF(D117&gt;=900,AE119))))</f>
        <v>45.1248</v>
      </c>
      <c r="X119" s="118">
        <f>((IF(D117&lt;=900,AB119,IF(D117&gt;=900,AD119))))</f>
        <v>0</v>
      </c>
      <c r="Y119" s="119"/>
      <c r="Z119" s="119">
        <f>(MAX(B117:C117))</f>
        <v>0</v>
      </c>
      <c r="AA119" s="119">
        <f>LOOKUP(Z119,informatieblad!$C$27:$C$32,informatieblad!$A$27:$A$32)</f>
        <v>0.5</v>
      </c>
      <c r="AB119" s="118">
        <f>VLOOKUP(AA119,informatieblad!$A$27:$M$32,6,FALSE)</f>
        <v>0</v>
      </c>
      <c r="AC119" s="118">
        <f>VLOOKUP(AA119,informatieblad!$A$27:$M$32,8,FALSE)</f>
        <v>45.1248</v>
      </c>
      <c r="AD119" s="118">
        <f>VLOOKUP(AA119,informatieblad!$A$27:$M$32,9,FALSE)</f>
        <v>0</v>
      </c>
      <c r="AE119" s="118">
        <f>VLOOKUP(AA119,informatieblad!$A$27:$M$32,11,FALSE)</f>
        <v>32.463200000000001</v>
      </c>
      <c r="AF119" s="120">
        <f>VLOOKUP(AA119,informatieblad!$A$27:$M$32,13,FALSE)</f>
        <v>4</v>
      </c>
      <c r="AG119" s="121">
        <f>ROUND((AF119*P119),1)</f>
        <v>0</v>
      </c>
      <c r="AI119" s="111">
        <f>(IF(B118=AI117,((2*B117)+(2*C117)),IF(B118=AI118,((2*B117)+(2*C117)),0)))*C119</f>
        <v>0</v>
      </c>
      <c r="AJ119" s="261">
        <f>(IF(C118=AI117,((2*B117)+(2*C117)),IF(C118=AI118,((2*B117)+(2*C117)),0)))*C119</f>
        <v>0</v>
      </c>
      <c r="AK119" s="111">
        <f>(IF(B118=AK117,((2*B117)+(2*C117)),IF(B118=AK118,((2*B117)+(2*C117)),0)))*C119</f>
        <v>0</v>
      </c>
      <c r="AL119" s="260">
        <f>(IF(C118=AK117,((2*B117)+(2*C117)),IF(C118=AK118,((2*B117)+(2*C117)),0)))*C119</f>
        <v>0</v>
      </c>
      <c r="AM119" s="261">
        <f>(IF(B118=AM117,((2*B117)+(2*C117)),IF(B118=AM118,((2*B117)+(2*C117)),0)))*C119</f>
        <v>0</v>
      </c>
      <c r="AN119" s="260">
        <f>(IF(C118=AM117,((2*B117)+(2*C117)),IF(C118=AM118,((2*B117)+(2*C117)),0)))*C119</f>
        <v>0</v>
      </c>
      <c r="AO119" s="111">
        <f>(IF(B118=AO117,((2*B117)+(2*C117)),0))*C119</f>
        <v>0</v>
      </c>
      <c r="AP119" s="260">
        <f>(IF(C118=AO117,((2*B117)+(2*C117)),0))*C119</f>
        <v>0</v>
      </c>
      <c r="AR119" s="268">
        <f>D117*C119</f>
        <v>0</v>
      </c>
      <c r="AT119" s="83" t="str">
        <f>'UC mounting materials '!$B$11</f>
        <v>Rail 41x41</v>
      </c>
      <c r="AU119" s="268">
        <f>IF(Z119&gt;999,(Z119+100),0)*C119</f>
        <v>0</v>
      </c>
      <c r="AW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AX119" s="275" t="str">
        <f>IF(C118=informatieblad!$A$6,informatieblad!$B$6,IF(C118=informatieblad!$A$7,informatieblad!$B$7,IF(C118=informatieblad!$A$8,informatieblad!$B$8,IF(C118=informatieblad!$A$2,informatieblad!$B$2,IF(C118=informatieblad!$A$3,informatieblad!$B$3,IF(C118=informatieblad!$A$4,informatieblad!$B$4,IF(C118=informatieblad!$A$5,informatieblad!$B$5,"")))))))</f>
        <v/>
      </c>
      <c r="AY119" s="276">
        <f>IF(AW119=AY117,(4*C119),0)</f>
        <v>0</v>
      </c>
      <c r="AZ119" s="276">
        <f>IF(AX119=AY117,(4*C119),0)</f>
        <v>0</v>
      </c>
      <c r="BA119" s="276">
        <f>IF(AW119=BA117,(4*C119),0)</f>
        <v>0</v>
      </c>
      <c r="BB119" s="274">
        <f>IF(AX119=BA117,(4*C119),0)</f>
        <v>0</v>
      </c>
    </row>
    <row r="120" spans="1:54" ht="5.0999999999999996" customHeight="1" thickBot="1">
      <c r="A120" s="335"/>
      <c r="B120" s="88"/>
      <c r="C120" s="336"/>
      <c r="D120" s="337"/>
      <c r="E120" s="174"/>
      <c r="F120" s="336"/>
      <c r="G120" s="338"/>
      <c r="H120" s="338"/>
      <c r="M120" s="83"/>
      <c r="N120" s="142"/>
      <c r="O120" s="142"/>
      <c r="P120" s="142"/>
      <c r="Q120" s="142"/>
      <c r="R120" s="143"/>
      <c r="S120" s="143"/>
      <c r="T120" s="339"/>
      <c r="U120" s="340"/>
      <c r="V120" s="340"/>
      <c r="W120" s="341"/>
      <c r="X120" s="144"/>
      <c r="Y120" s="83"/>
      <c r="Z120" s="83"/>
      <c r="AA120" s="83"/>
      <c r="AB120" s="144"/>
      <c r="AC120" s="144"/>
      <c r="AD120" s="144"/>
      <c r="AE120" s="144"/>
      <c r="AF120" s="142"/>
      <c r="AG120" s="142"/>
      <c r="AT120" s="83"/>
      <c r="BB120" s="273"/>
    </row>
    <row r="121" spans="1:54" ht="15.75" customHeight="1" thickBot="1">
      <c r="A121" s="445"/>
      <c r="B121" s="96"/>
      <c r="C121" s="96"/>
      <c r="D121" s="96"/>
      <c r="E121" s="448"/>
      <c r="F121" s="449"/>
      <c r="G121" s="449"/>
      <c r="H121" s="450"/>
      <c r="I121" s="345" t="s">
        <v>20</v>
      </c>
      <c r="M121" s="97" t="s">
        <v>14</v>
      </c>
      <c r="N121" s="98" t="s">
        <v>27</v>
      </c>
      <c r="O121" s="98" t="s">
        <v>28</v>
      </c>
      <c r="P121" s="98" t="s">
        <v>27</v>
      </c>
      <c r="Q121" s="98" t="s">
        <v>28</v>
      </c>
      <c r="R121" s="98" t="s">
        <v>29</v>
      </c>
      <c r="S121" s="66" t="s">
        <v>30</v>
      </c>
      <c r="T121" s="99" t="s">
        <v>31</v>
      </c>
      <c r="U121" s="99"/>
      <c r="V121" s="99"/>
      <c r="W121" s="98" t="s">
        <v>32</v>
      </c>
      <c r="X121" s="98" t="s">
        <v>32</v>
      </c>
      <c r="Y121" s="98"/>
      <c r="Z121" s="98" t="s">
        <v>33</v>
      </c>
      <c r="AA121" s="100" t="s">
        <v>34</v>
      </c>
      <c r="AB121" s="98" t="s">
        <v>32</v>
      </c>
      <c r="AC121" s="98" t="s">
        <v>32</v>
      </c>
      <c r="AD121" s="98" t="s">
        <v>32</v>
      </c>
      <c r="AE121" s="98" t="s">
        <v>32</v>
      </c>
      <c r="AF121" s="98" t="s">
        <v>61</v>
      </c>
      <c r="AG121" s="101" t="s">
        <v>36</v>
      </c>
      <c r="AI121" s="97" t="str">
        <f>informatieblad!$A$6</f>
        <v>FL20</v>
      </c>
      <c r="AJ121" s="99"/>
      <c r="AK121" s="97" t="str">
        <f>informatieblad!$A$7</f>
        <v>FL30</v>
      </c>
      <c r="AL121" s="66"/>
      <c r="AM121" s="99" t="str">
        <f>informatieblad!$A$8</f>
        <v>FL40</v>
      </c>
      <c r="AN121" s="66"/>
      <c r="AO121" s="97" t="str">
        <f>informatieblad!$A$5</f>
        <v>none</v>
      </c>
      <c r="AP121" s="264"/>
      <c r="AR121" s="266" t="s">
        <v>17</v>
      </c>
      <c r="AT121" s="83"/>
      <c r="AU121" s="266" t="s">
        <v>37</v>
      </c>
      <c r="AW121" s="269" t="s">
        <v>38</v>
      </c>
      <c r="AX121" s="272"/>
      <c r="AY121" s="272">
        <f>informatieblad!$B$3</f>
        <v>0</v>
      </c>
      <c r="AZ121" s="272">
        <f>informatieblad!$B$3</f>
        <v>0</v>
      </c>
      <c r="BA121" s="272">
        <f>informatieblad!$B$4</f>
        <v>0</v>
      </c>
      <c r="BB121" s="264">
        <f>informatieblad!$B$4</f>
        <v>0</v>
      </c>
    </row>
    <row r="122" spans="1:54" ht="15.75" customHeight="1">
      <c r="A122" s="446"/>
      <c r="B122" s="102" t="str">
        <f>IF($C123&gt;0,IF(MAX(B121:C121)&lt;informatieblad!$Q$4,informatieblad!$P$3,IF(MAX(B121:C121)&gt;informatieblad!$R$4,informatieblad!$P$5,informatieblad!$P$4)),"")</f>
        <v/>
      </c>
      <c r="C122" s="102" t="str">
        <f>IF($C123&gt;0,IF(MAX(B121:C121)&lt;informatieblad!$Q$4,informatieblad!$P$3,IF(MAX(B121:C121)&gt;informatieblad!$R$4,informatieblad!$P$5,informatieblad!$P$4)),"")</f>
        <v/>
      </c>
      <c r="D122" s="88"/>
      <c r="E122" s="89" t="str">
        <f>A121&amp;"-"&amp;informatieblad!$B$12&amp;"-"&amp;B121&amp;"-"&amp;C121&amp;"-"&amp;D121&amp;"-"&amp;B122&amp;"-"&amp;C122&amp;"-"&amp;F123</f>
        <v>-RctD------Options None</v>
      </c>
      <c r="F122" s="90"/>
      <c r="G122" s="90"/>
      <c r="H122" s="91"/>
      <c r="M122" s="103">
        <f>A121</f>
        <v>0</v>
      </c>
      <c r="N122" s="104" t="s">
        <v>39</v>
      </c>
      <c r="O122" s="104" t="s">
        <v>39</v>
      </c>
      <c r="P122" s="104" t="s">
        <v>40</v>
      </c>
      <c r="Q122" s="104" t="s">
        <v>40</v>
      </c>
      <c r="R122" s="104" t="s">
        <v>40</v>
      </c>
      <c r="S122" s="105"/>
      <c r="T122" s="106" t="s">
        <v>27</v>
      </c>
      <c r="U122" s="106" t="s">
        <v>40</v>
      </c>
      <c r="V122" s="106" t="s">
        <v>41</v>
      </c>
      <c r="W122" s="104" t="s">
        <v>42</v>
      </c>
      <c r="X122" s="104" t="s">
        <v>43</v>
      </c>
      <c r="Y122" s="104"/>
      <c r="Z122" s="104" t="s">
        <v>44</v>
      </c>
      <c r="AA122" s="107"/>
      <c r="AB122" s="104" t="s">
        <v>45</v>
      </c>
      <c r="AC122" s="104" t="s">
        <v>42</v>
      </c>
      <c r="AD122" s="104" t="s">
        <v>43</v>
      </c>
      <c r="AE122" s="104" t="s">
        <v>46</v>
      </c>
      <c r="AF122" s="108"/>
      <c r="AG122" s="109"/>
      <c r="AI122" s="262" t="str">
        <f>informatieblad!$A$2</f>
        <v>FL20 loose</v>
      </c>
      <c r="AJ122" s="263"/>
      <c r="AK122" s="262" t="str">
        <f>informatieblad!$A$3</f>
        <v>FL30 loose</v>
      </c>
      <c r="AL122" s="105"/>
      <c r="AM122" s="263" t="str">
        <f>informatieblad!$A$4</f>
        <v>FL40 loose</v>
      </c>
      <c r="AN122" s="105"/>
      <c r="AO122" s="265"/>
      <c r="AP122" s="105"/>
      <c r="AR122" s="267"/>
      <c r="AT122" s="83" t="str">
        <f>'UC mounting materials '!$B$10</f>
        <v>Rail 30x15</v>
      </c>
      <c r="AU122" s="327">
        <f>IF(Z123&lt;1000,(Z123+100),0)*C123</f>
        <v>0</v>
      </c>
      <c r="AW122" s="265" t="s">
        <v>47</v>
      </c>
      <c r="AX122" s="106" t="s">
        <v>48</v>
      </c>
      <c r="AY122" s="83" t="s">
        <v>23</v>
      </c>
      <c r="AZ122" s="83" t="s">
        <v>23</v>
      </c>
      <c r="BA122" s="83" t="s">
        <v>23</v>
      </c>
      <c r="BB122" s="273" t="s">
        <v>23</v>
      </c>
    </row>
    <row r="123" spans="1:54" ht="15.75" customHeight="1" thickBot="1">
      <c r="A123" s="447"/>
      <c r="B123" s="92" t="s">
        <v>23</v>
      </c>
      <c r="C123" s="110"/>
      <c r="D123" s="94">
        <f>C123*O123</f>
        <v>0</v>
      </c>
      <c r="E123" s="95" t="s">
        <v>24</v>
      </c>
      <c r="F123" s="451" t="s">
        <v>25</v>
      </c>
      <c r="G123" s="452"/>
      <c r="H123" s="453"/>
      <c r="M123" s="111"/>
      <c r="N123" s="112">
        <f>(((2*(B121+C121))*D121)/1000000)</f>
        <v>0</v>
      </c>
      <c r="O123" s="112">
        <f>((IF(N123&lt;=informatieblad!$I$12,informatieblad!$I$12,IF(N123&gt;=informatieblad!$I$12,N123))))</f>
        <v>0.5</v>
      </c>
      <c r="P123" s="112">
        <f>(((2*B121)+(2*C121))*D121)/1000000</f>
        <v>0</v>
      </c>
      <c r="Q123" s="112">
        <f>((IF(P123&lt;=informatieblad!$H$12,informatieblad!$H$12,IF(P123&gt;=informatieblad!$H$12,P123))))</f>
        <v>0</v>
      </c>
      <c r="R123" s="113">
        <f>((Q123*X123)+(Q123*U123))*C123</f>
        <v>0</v>
      </c>
      <c r="S123" s="114">
        <f>((O123*W123)+(O123*V123))*C123</f>
        <v>0</v>
      </c>
      <c r="T123" s="115" t="str">
        <f>F123</f>
        <v>Options None</v>
      </c>
      <c r="U123" s="116">
        <f>VLOOKUP(F123,informatieblad!$A$37:$D$41,2,FALSE)</f>
        <v>0</v>
      </c>
      <c r="V123" s="116">
        <f>VLOOKUP(F123,informatieblad!$A$37:$D$41,4,FALSE)</f>
        <v>0</v>
      </c>
      <c r="W123" s="117">
        <f>((IF(D121&lt;=900,AC123,IF(D121&gt;=900,AE123))))</f>
        <v>45.1248</v>
      </c>
      <c r="X123" s="118">
        <f>((IF(D121&lt;=900,AB123,IF(D121&gt;=900,AD123))))</f>
        <v>0</v>
      </c>
      <c r="Y123" s="119"/>
      <c r="Z123" s="119">
        <f>(MAX(B121:C121))</f>
        <v>0</v>
      </c>
      <c r="AA123" s="119">
        <f>LOOKUP(Z123,informatieblad!$C$27:$C$32,informatieblad!$A$27:$A$32)</f>
        <v>0.5</v>
      </c>
      <c r="AB123" s="118">
        <f>VLOOKUP(AA123,informatieblad!$A$27:$M$32,6,FALSE)</f>
        <v>0</v>
      </c>
      <c r="AC123" s="118">
        <f>VLOOKUP(AA123,informatieblad!$A$27:$M$32,8,FALSE)</f>
        <v>45.1248</v>
      </c>
      <c r="AD123" s="118">
        <f>VLOOKUP(AA123,informatieblad!$A$27:$M$32,9,FALSE)</f>
        <v>0</v>
      </c>
      <c r="AE123" s="118">
        <f>VLOOKUP(AA123,informatieblad!$A$27:$M$32,11,FALSE)</f>
        <v>32.463200000000001</v>
      </c>
      <c r="AF123" s="120">
        <f>VLOOKUP(AA123,informatieblad!$A$27:$M$32,13,FALSE)</f>
        <v>4</v>
      </c>
      <c r="AG123" s="121">
        <f>ROUND((AF123*P123),1)</f>
        <v>0</v>
      </c>
      <c r="AI123" s="111">
        <f>(IF(B122=AI121,((2*B121)+(2*C121)),IF(B122=AI122,((2*B121)+(2*C121)),0)))*C123</f>
        <v>0</v>
      </c>
      <c r="AJ123" s="261">
        <f>(IF(C122=AI121,((2*B121)+(2*C121)),IF(C122=AI122,((2*B121)+(2*C121)),0)))*C123</f>
        <v>0</v>
      </c>
      <c r="AK123" s="111">
        <f>(IF(B122=AK121,((2*B121)+(2*C121)),IF(B122=AK122,((2*B121)+(2*C121)),0)))*C123</f>
        <v>0</v>
      </c>
      <c r="AL123" s="260">
        <f>(IF(C122=AK121,((2*B121)+(2*C121)),IF(C122=AK122,((2*B121)+(2*C121)),0)))*C123</f>
        <v>0</v>
      </c>
      <c r="AM123" s="261">
        <f>(IF(B122=AM121,((2*B121)+(2*C121)),IF(B122=AM122,((2*B121)+(2*C121)),0)))*C123</f>
        <v>0</v>
      </c>
      <c r="AN123" s="260">
        <f>(IF(C122=AM121,((2*B121)+(2*C121)),IF(C122=AM122,((2*B121)+(2*C121)),0)))*C123</f>
        <v>0</v>
      </c>
      <c r="AO123" s="111">
        <f>(IF(B122=AO121,((2*B121)+(2*C121)),0))*C123</f>
        <v>0</v>
      </c>
      <c r="AP123" s="260">
        <f>(IF(C122=AO121,((2*B121)+(2*C121)),0))*C123</f>
        <v>0</v>
      </c>
      <c r="AR123" s="268">
        <f>D121*C123</f>
        <v>0</v>
      </c>
      <c r="AT123" s="83" t="str">
        <f>'UC mounting materials '!$B$11</f>
        <v>Rail 41x41</v>
      </c>
      <c r="AU123" s="268">
        <f>IF(Z123&gt;999,(Z123+100),0)*C123</f>
        <v>0</v>
      </c>
      <c r="AW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AX123" s="275" t="str">
        <f>IF(C122=informatieblad!$A$6,informatieblad!$B$6,IF(C122=informatieblad!$A$7,informatieblad!$B$7,IF(C122=informatieblad!$A$8,informatieblad!$B$8,IF(C122=informatieblad!$A$2,informatieblad!$B$2,IF(C122=informatieblad!$A$3,informatieblad!$B$3,IF(C122=informatieblad!$A$4,informatieblad!$B$4,IF(C122=informatieblad!$A$5,informatieblad!$B$5,"")))))))</f>
        <v/>
      </c>
      <c r="AY123" s="276">
        <f>IF(AW123=AY121,(4*C123),0)</f>
        <v>0</v>
      </c>
      <c r="AZ123" s="276">
        <f>IF(AX123=AY121,(4*C123),0)</f>
        <v>0</v>
      </c>
      <c r="BA123" s="276">
        <f>IF(AW123=BA121,(4*C123),0)</f>
        <v>0</v>
      </c>
      <c r="BB123" s="274">
        <f>IF(AX123=BA121,(4*C123),0)</f>
        <v>0</v>
      </c>
    </row>
    <row r="124" spans="1:54" ht="5.0999999999999996" customHeight="1" thickBot="1">
      <c r="A124" s="335"/>
      <c r="B124" s="88"/>
      <c r="C124" s="336"/>
      <c r="D124" s="337"/>
      <c r="E124" s="174"/>
      <c r="F124" s="336"/>
      <c r="G124" s="338"/>
      <c r="H124" s="338"/>
      <c r="M124" s="83"/>
      <c r="N124" s="142"/>
      <c r="O124" s="142"/>
      <c r="P124" s="142"/>
      <c r="Q124" s="142"/>
      <c r="R124" s="143"/>
      <c r="S124" s="143"/>
      <c r="T124" s="339"/>
      <c r="U124" s="340"/>
      <c r="V124" s="340"/>
      <c r="W124" s="341"/>
      <c r="X124" s="144"/>
      <c r="Y124" s="83"/>
      <c r="Z124" s="83"/>
      <c r="AA124" s="83"/>
      <c r="AB124" s="144"/>
      <c r="AC124" s="144"/>
      <c r="AD124" s="144"/>
      <c r="AE124" s="144"/>
      <c r="AF124" s="142"/>
      <c r="AG124" s="142"/>
      <c r="AT124" s="83"/>
      <c r="BB124" s="273"/>
    </row>
    <row r="125" spans="1:54" ht="15.75" customHeight="1" thickBot="1">
      <c r="A125" s="445"/>
      <c r="B125" s="96"/>
      <c r="C125" s="96"/>
      <c r="D125" s="96"/>
      <c r="E125" s="448"/>
      <c r="F125" s="449"/>
      <c r="G125" s="449"/>
      <c r="H125" s="450"/>
      <c r="I125" s="345" t="s">
        <v>20</v>
      </c>
      <c r="M125" s="97" t="s">
        <v>14</v>
      </c>
      <c r="N125" s="98" t="s">
        <v>27</v>
      </c>
      <c r="O125" s="98" t="s">
        <v>28</v>
      </c>
      <c r="P125" s="98" t="s">
        <v>27</v>
      </c>
      <c r="Q125" s="98" t="s">
        <v>28</v>
      </c>
      <c r="R125" s="98" t="s">
        <v>29</v>
      </c>
      <c r="S125" s="66" t="s">
        <v>30</v>
      </c>
      <c r="T125" s="99" t="s">
        <v>31</v>
      </c>
      <c r="U125" s="99"/>
      <c r="V125" s="99"/>
      <c r="W125" s="98" t="s">
        <v>32</v>
      </c>
      <c r="X125" s="98" t="s">
        <v>32</v>
      </c>
      <c r="Y125" s="98"/>
      <c r="Z125" s="98" t="s">
        <v>33</v>
      </c>
      <c r="AA125" s="100" t="s">
        <v>34</v>
      </c>
      <c r="AB125" s="98" t="s">
        <v>32</v>
      </c>
      <c r="AC125" s="98" t="s">
        <v>32</v>
      </c>
      <c r="AD125" s="98" t="s">
        <v>32</v>
      </c>
      <c r="AE125" s="98" t="s">
        <v>32</v>
      </c>
      <c r="AF125" s="98" t="s">
        <v>62</v>
      </c>
      <c r="AG125" s="101" t="s">
        <v>36</v>
      </c>
      <c r="AI125" s="97" t="str">
        <f>informatieblad!$A$6</f>
        <v>FL20</v>
      </c>
      <c r="AJ125" s="99"/>
      <c r="AK125" s="97" t="str">
        <f>informatieblad!$A$7</f>
        <v>FL30</v>
      </c>
      <c r="AL125" s="66"/>
      <c r="AM125" s="99" t="str">
        <f>informatieblad!$A$8</f>
        <v>FL40</v>
      </c>
      <c r="AN125" s="66"/>
      <c r="AO125" s="97" t="str">
        <f>informatieblad!$A$5</f>
        <v>none</v>
      </c>
      <c r="AP125" s="264"/>
      <c r="AR125" s="266" t="s">
        <v>17</v>
      </c>
      <c r="AT125" s="83"/>
      <c r="AU125" s="266" t="s">
        <v>37</v>
      </c>
      <c r="AW125" s="269" t="s">
        <v>38</v>
      </c>
      <c r="AX125" s="272"/>
      <c r="AY125" s="272">
        <f>informatieblad!$B$3</f>
        <v>0</v>
      </c>
      <c r="AZ125" s="272">
        <f>informatieblad!$B$3</f>
        <v>0</v>
      </c>
      <c r="BA125" s="272">
        <f>informatieblad!$B$4</f>
        <v>0</v>
      </c>
      <c r="BB125" s="264">
        <f>informatieblad!$B$4</f>
        <v>0</v>
      </c>
    </row>
    <row r="126" spans="1:54" ht="15.75" customHeight="1">
      <c r="A126" s="446"/>
      <c r="B126" s="102" t="str">
        <f>IF($C127&gt;0,IF(MAX(B125:C125)&lt;informatieblad!$Q$4,informatieblad!$P$3,IF(MAX(B125:C125)&gt;informatieblad!$R$4,informatieblad!$P$5,informatieblad!$P$4)),"")</f>
        <v/>
      </c>
      <c r="C126" s="102" t="str">
        <f>IF($C127&gt;0,IF(MAX(B125:C125)&lt;informatieblad!$Q$4,informatieblad!$P$3,IF(MAX(B125:C125)&gt;informatieblad!$R$4,informatieblad!$P$5,informatieblad!$P$4)),"")</f>
        <v/>
      </c>
      <c r="D126" s="88"/>
      <c r="E126" s="89" t="str">
        <f>A125&amp;"-"&amp;informatieblad!$B$12&amp;"-"&amp;B125&amp;"-"&amp;C125&amp;"-"&amp;D125&amp;"-"&amp;B126&amp;"-"&amp;C126&amp;"-"&amp;F127</f>
        <v>-RctD------Options None</v>
      </c>
      <c r="F126" s="90"/>
      <c r="G126" s="90"/>
      <c r="H126" s="91"/>
      <c r="M126" s="103">
        <f>A125</f>
        <v>0</v>
      </c>
      <c r="N126" s="104" t="s">
        <v>39</v>
      </c>
      <c r="O126" s="104" t="s">
        <v>39</v>
      </c>
      <c r="P126" s="104" t="s">
        <v>40</v>
      </c>
      <c r="Q126" s="104" t="s">
        <v>40</v>
      </c>
      <c r="R126" s="104" t="s">
        <v>40</v>
      </c>
      <c r="S126" s="105"/>
      <c r="T126" s="106" t="s">
        <v>27</v>
      </c>
      <c r="U126" s="106" t="s">
        <v>40</v>
      </c>
      <c r="V126" s="106" t="s">
        <v>41</v>
      </c>
      <c r="W126" s="104" t="s">
        <v>42</v>
      </c>
      <c r="X126" s="104" t="s">
        <v>43</v>
      </c>
      <c r="Y126" s="104"/>
      <c r="Z126" s="104" t="s">
        <v>44</v>
      </c>
      <c r="AA126" s="107"/>
      <c r="AB126" s="104" t="s">
        <v>45</v>
      </c>
      <c r="AC126" s="104" t="s">
        <v>42</v>
      </c>
      <c r="AD126" s="104" t="s">
        <v>43</v>
      </c>
      <c r="AE126" s="104" t="s">
        <v>46</v>
      </c>
      <c r="AF126" s="108"/>
      <c r="AG126" s="109"/>
      <c r="AI126" s="262" t="str">
        <f>informatieblad!$A$2</f>
        <v>FL20 loose</v>
      </c>
      <c r="AJ126" s="263"/>
      <c r="AK126" s="262" t="str">
        <f>informatieblad!$A$3</f>
        <v>FL30 loose</v>
      </c>
      <c r="AL126" s="105"/>
      <c r="AM126" s="263" t="str">
        <f>informatieblad!$A$4</f>
        <v>FL40 loose</v>
      </c>
      <c r="AN126" s="105"/>
      <c r="AO126" s="265"/>
      <c r="AP126" s="105"/>
      <c r="AR126" s="267"/>
      <c r="AT126" s="83" t="str">
        <f>'UC mounting materials '!$B$10</f>
        <v>Rail 30x15</v>
      </c>
      <c r="AU126" s="327">
        <f>IF(Z127&lt;1000,(Z127+100),0)*C127</f>
        <v>0</v>
      </c>
      <c r="AW126" s="265" t="s">
        <v>47</v>
      </c>
      <c r="AX126" s="106" t="s">
        <v>48</v>
      </c>
      <c r="AY126" s="83" t="s">
        <v>23</v>
      </c>
      <c r="AZ126" s="83" t="s">
        <v>23</v>
      </c>
      <c r="BA126" s="83" t="s">
        <v>23</v>
      </c>
      <c r="BB126" s="273" t="s">
        <v>23</v>
      </c>
    </row>
    <row r="127" spans="1:54" ht="15.75" customHeight="1" thickBot="1">
      <c r="A127" s="447"/>
      <c r="B127" s="92" t="s">
        <v>23</v>
      </c>
      <c r="C127" s="110"/>
      <c r="D127" s="94">
        <f>C127*O127</f>
        <v>0</v>
      </c>
      <c r="E127" s="95" t="s">
        <v>24</v>
      </c>
      <c r="F127" s="451" t="s">
        <v>25</v>
      </c>
      <c r="G127" s="452"/>
      <c r="H127" s="453"/>
      <c r="M127" s="111"/>
      <c r="N127" s="112">
        <f>(((2*(B125+C125))*D125)/1000000)</f>
        <v>0</v>
      </c>
      <c r="O127" s="112">
        <f>((IF(N127&lt;=informatieblad!$I$12,informatieblad!$I$12,IF(N127&gt;=informatieblad!$I$12,N127))))</f>
        <v>0.5</v>
      </c>
      <c r="P127" s="112">
        <f>(((2*B125)+(2*C125))*D125)/1000000</f>
        <v>0</v>
      </c>
      <c r="Q127" s="112">
        <f>((IF(P127&lt;=informatieblad!$H$12,informatieblad!$H$12,IF(P127&gt;=informatieblad!$H$12,P127))))</f>
        <v>0</v>
      </c>
      <c r="R127" s="113">
        <f>((Q127*X127)+(Q127*U127))*C127</f>
        <v>0</v>
      </c>
      <c r="S127" s="114">
        <f>((O127*W127)+(O127*V127))*C127</f>
        <v>0</v>
      </c>
      <c r="T127" s="115" t="str">
        <f>F127</f>
        <v>Options None</v>
      </c>
      <c r="U127" s="116">
        <f>VLOOKUP(F127,informatieblad!$A$37:$D$41,2,FALSE)</f>
        <v>0</v>
      </c>
      <c r="V127" s="116">
        <f>VLOOKUP(F127,informatieblad!$A$37:$D$41,4,FALSE)</f>
        <v>0</v>
      </c>
      <c r="W127" s="117">
        <f>((IF(D125&lt;=900,AC127,IF(D125&gt;=900,AE127))))</f>
        <v>45.1248</v>
      </c>
      <c r="X127" s="118">
        <f>((IF(D125&lt;=900,AB127,IF(D125&gt;=900,AD127))))</f>
        <v>0</v>
      </c>
      <c r="Y127" s="119"/>
      <c r="Z127" s="119">
        <f>(MAX(B125:C125))</f>
        <v>0</v>
      </c>
      <c r="AA127" s="119">
        <f>LOOKUP(Z127,informatieblad!$C$27:$C$32,informatieblad!$A$27:$A$32)</f>
        <v>0.5</v>
      </c>
      <c r="AB127" s="118">
        <f>VLOOKUP(AA127,informatieblad!$A$27:$M$32,6,FALSE)</f>
        <v>0</v>
      </c>
      <c r="AC127" s="118">
        <f>VLOOKUP(AA127,informatieblad!$A$27:$M$32,8,FALSE)</f>
        <v>45.1248</v>
      </c>
      <c r="AD127" s="118">
        <f>VLOOKUP(AA127,informatieblad!$A$27:$M$32,9,FALSE)</f>
        <v>0</v>
      </c>
      <c r="AE127" s="118">
        <f>VLOOKUP(AA127,informatieblad!$A$27:$M$32,11,FALSE)</f>
        <v>32.463200000000001</v>
      </c>
      <c r="AF127" s="120">
        <f>VLOOKUP(AA127,informatieblad!$A$27:$M$32,13,FALSE)</f>
        <v>4</v>
      </c>
      <c r="AG127" s="121">
        <f>ROUND((AF127*P127),1)</f>
        <v>0</v>
      </c>
      <c r="AI127" s="111">
        <f>(IF(B126=AI125,((2*B125)+(2*C125)),IF(B126=AI126,((2*B125)+(2*C125)),0)))*C127</f>
        <v>0</v>
      </c>
      <c r="AJ127" s="261">
        <f>(IF(C126=AI125,((2*B125)+(2*C125)),IF(C126=AI126,((2*B125)+(2*C125)),0)))*C127</f>
        <v>0</v>
      </c>
      <c r="AK127" s="111">
        <f>(IF(B126=AK125,((2*B125)+(2*C125)),IF(B126=AK126,((2*B125)+(2*C125)),0)))*C127</f>
        <v>0</v>
      </c>
      <c r="AL127" s="260">
        <f>(IF(C126=AK125,((2*B125)+(2*C125)),IF(C126=AK126,((2*B125)+(2*C125)),0)))*C127</f>
        <v>0</v>
      </c>
      <c r="AM127" s="261">
        <f>(IF(B126=AM125,((2*B125)+(2*C125)),IF(B126=AM126,((2*B125)+(2*C125)),0)))*C127</f>
        <v>0</v>
      </c>
      <c r="AN127" s="260">
        <f>(IF(C126=AM125,((2*B125)+(2*C125)),IF(C126=AM126,((2*B125)+(2*C125)),0)))*C127</f>
        <v>0</v>
      </c>
      <c r="AO127" s="111">
        <f>(IF(B126=AO125,((2*B125)+(2*C125)),0))*C127</f>
        <v>0</v>
      </c>
      <c r="AP127" s="260">
        <f>(IF(C126=AO125,((2*B125)+(2*C125)),0))*C127</f>
        <v>0</v>
      </c>
      <c r="AR127" s="268">
        <f>D125*C127</f>
        <v>0</v>
      </c>
      <c r="AT127" s="83" t="str">
        <f>'UC mounting materials '!$B$11</f>
        <v>Rail 41x41</v>
      </c>
      <c r="AU127" s="268">
        <f>IF(Z127&gt;999,(Z127+100),0)*C127</f>
        <v>0</v>
      </c>
      <c r="AW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AX127" s="275" t="str">
        <f>IF(C126=informatieblad!$A$6,informatieblad!$B$6,IF(C126=informatieblad!$A$7,informatieblad!$B$7,IF(C126=informatieblad!$A$8,informatieblad!$B$8,IF(C126=informatieblad!$A$2,informatieblad!$B$2,IF(C126=informatieblad!$A$3,informatieblad!$B$3,IF(C126=informatieblad!$A$4,informatieblad!$B$4,IF(C126=informatieblad!$A$5,informatieblad!$B$5,"")))))))</f>
        <v/>
      </c>
      <c r="AY127" s="276">
        <f>IF(AW127=AY125,(4*C127),0)</f>
        <v>0</v>
      </c>
      <c r="AZ127" s="276">
        <f>IF(AX127=AY125,(4*C127),0)</f>
        <v>0</v>
      </c>
      <c r="BA127" s="276">
        <f>IF(AW127=BA125,(4*C127),0)</f>
        <v>0</v>
      </c>
      <c r="BB127" s="274">
        <f>IF(AX127=BA125,(4*C127),0)</f>
        <v>0</v>
      </c>
    </row>
    <row r="128" spans="1:54" ht="5.0999999999999996" customHeight="1" thickBot="1">
      <c r="A128" s="335"/>
      <c r="B128" s="88"/>
      <c r="C128" s="336"/>
      <c r="D128" s="337"/>
      <c r="E128" s="174"/>
      <c r="F128" s="336"/>
      <c r="G128" s="338"/>
      <c r="H128" s="338"/>
      <c r="M128" s="83"/>
      <c r="N128" s="142"/>
      <c r="O128" s="142"/>
      <c r="P128" s="142"/>
      <c r="Q128" s="142"/>
      <c r="R128" s="143"/>
      <c r="S128" s="143"/>
      <c r="T128" s="339"/>
      <c r="U128" s="340"/>
      <c r="V128" s="340"/>
      <c r="W128" s="341"/>
      <c r="X128" s="144"/>
      <c r="Y128" s="83"/>
      <c r="Z128" s="83"/>
      <c r="AA128" s="83"/>
      <c r="AB128" s="144"/>
      <c r="AC128" s="144"/>
      <c r="AD128" s="144"/>
      <c r="AE128" s="144"/>
      <c r="AF128" s="142"/>
      <c r="AG128" s="142"/>
      <c r="AT128" s="83"/>
      <c r="BB128" s="273"/>
    </row>
    <row r="129" spans="1:54" ht="15.75" customHeight="1" thickBot="1">
      <c r="A129" s="445"/>
      <c r="B129" s="96"/>
      <c r="C129" s="96"/>
      <c r="D129" s="96"/>
      <c r="E129" s="448"/>
      <c r="F129" s="449"/>
      <c r="G129" s="449"/>
      <c r="H129" s="450"/>
      <c r="I129" s="345" t="s">
        <v>20</v>
      </c>
      <c r="M129" s="97" t="s">
        <v>14</v>
      </c>
      <c r="N129" s="98" t="s">
        <v>27</v>
      </c>
      <c r="O129" s="98" t="s">
        <v>28</v>
      </c>
      <c r="P129" s="98" t="s">
        <v>27</v>
      </c>
      <c r="Q129" s="98" t="s">
        <v>28</v>
      </c>
      <c r="R129" s="98" t="s">
        <v>29</v>
      </c>
      <c r="S129" s="66" t="s">
        <v>30</v>
      </c>
      <c r="T129" s="99" t="s">
        <v>31</v>
      </c>
      <c r="U129" s="99"/>
      <c r="V129" s="99"/>
      <c r="W129" s="98" t="s">
        <v>32</v>
      </c>
      <c r="X129" s="98" t="s">
        <v>32</v>
      </c>
      <c r="Y129" s="98"/>
      <c r="Z129" s="98" t="s">
        <v>33</v>
      </c>
      <c r="AA129" s="100" t="s">
        <v>34</v>
      </c>
      <c r="AB129" s="98" t="s">
        <v>32</v>
      </c>
      <c r="AC129" s="98" t="s">
        <v>32</v>
      </c>
      <c r="AD129" s="98" t="s">
        <v>32</v>
      </c>
      <c r="AE129" s="98" t="s">
        <v>32</v>
      </c>
      <c r="AF129" s="98" t="s">
        <v>63</v>
      </c>
      <c r="AG129" s="101" t="s">
        <v>36</v>
      </c>
      <c r="AI129" s="97" t="str">
        <f>informatieblad!$A$6</f>
        <v>FL20</v>
      </c>
      <c r="AJ129" s="99"/>
      <c r="AK129" s="97" t="str">
        <f>informatieblad!$A$7</f>
        <v>FL30</v>
      </c>
      <c r="AL129" s="66"/>
      <c r="AM129" s="99" t="str">
        <f>informatieblad!$A$8</f>
        <v>FL40</v>
      </c>
      <c r="AN129" s="66"/>
      <c r="AO129" s="97" t="str">
        <f>informatieblad!$A$5</f>
        <v>none</v>
      </c>
      <c r="AP129" s="264"/>
      <c r="AR129" s="266" t="s">
        <v>17</v>
      </c>
      <c r="AT129" s="83"/>
      <c r="AU129" s="266" t="s">
        <v>37</v>
      </c>
      <c r="AW129" s="269" t="s">
        <v>38</v>
      </c>
      <c r="AX129" s="272"/>
      <c r="AY129" s="272">
        <f>informatieblad!$B$3</f>
        <v>0</v>
      </c>
      <c r="AZ129" s="272">
        <f>informatieblad!$B$3</f>
        <v>0</v>
      </c>
      <c r="BA129" s="272">
        <f>informatieblad!$B$4</f>
        <v>0</v>
      </c>
      <c r="BB129" s="264">
        <f>informatieblad!$B$4</f>
        <v>0</v>
      </c>
    </row>
    <row r="130" spans="1:54" ht="15.75" customHeight="1">
      <c r="A130" s="446"/>
      <c r="B130" s="102" t="str">
        <f>IF($C131&gt;0,IF(MAX(B129:C129)&lt;informatieblad!$Q$4,informatieblad!$P$3,IF(MAX(B129:C129)&gt;informatieblad!$R$4,informatieblad!$P$5,informatieblad!$P$4)),"")</f>
        <v/>
      </c>
      <c r="C130" s="102" t="str">
        <f>IF($C131&gt;0,IF(MAX(B129:C129)&lt;informatieblad!$Q$4,informatieblad!$P$3,IF(MAX(B129:C129)&gt;informatieblad!$R$4,informatieblad!$P$5,informatieblad!$P$4)),"")</f>
        <v/>
      </c>
      <c r="D130" s="88"/>
      <c r="E130" s="89" t="str">
        <f>A129&amp;"-"&amp;informatieblad!$B$12&amp;"-"&amp;B129&amp;"-"&amp;C129&amp;"-"&amp;D129&amp;"-"&amp;B130&amp;"-"&amp;C130&amp;"-"&amp;F131</f>
        <v>-RctD------Options None</v>
      </c>
      <c r="F130" s="90"/>
      <c r="G130" s="90"/>
      <c r="H130" s="91"/>
      <c r="M130" s="103">
        <f>A129</f>
        <v>0</v>
      </c>
      <c r="N130" s="104" t="s">
        <v>39</v>
      </c>
      <c r="O130" s="104" t="s">
        <v>39</v>
      </c>
      <c r="P130" s="104" t="s">
        <v>40</v>
      </c>
      <c r="Q130" s="104" t="s">
        <v>40</v>
      </c>
      <c r="R130" s="104" t="s">
        <v>40</v>
      </c>
      <c r="S130" s="105"/>
      <c r="T130" s="106" t="s">
        <v>27</v>
      </c>
      <c r="U130" s="106" t="s">
        <v>40</v>
      </c>
      <c r="V130" s="106" t="s">
        <v>41</v>
      </c>
      <c r="W130" s="104" t="s">
        <v>42</v>
      </c>
      <c r="X130" s="104" t="s">
        <v>43</v>
      </c>
      <c r="Y130" s="104"/>
      <c r="Z130" s="104" t="s">
        <v>44</v>
      </c>
      <c r="AA130" s="107"/>
      <c r="AB130" s="104" t="s">
        <v>45</v>
      </c>
      <c r="AC130" s="104" t="s">
        <v>42</v>
      </c>
      <c r="AD130" s="104" t="s">
        <v>43</v>
      </c>
      <c r="AE130" s="104" t="s">
        <v>46</v>
      </c>
      <c r="AF130" s="108"/>
      <c r="AG130" s="109"/>
      <c r="AI130" s="262" t="str">
        <f>informatieblad!$A$2</f>
        <v>FL20 loose</v>
      </c>
      <c r="AJ130" s="263"/>
      <c r="AK130" s="262" t="str">
        <f>informatieblad!$A$3</f>
        <v>FL30 loose</v>
      </c>
      <c r="AL130" s="105"/>
      <c r="AM130" s="263" t="str">
        <f>informatieblad!$A$4</f>
        <v>FL40 loose</v>
      </c>
      <c r="AN130" s="105"/>
      <c r="AO130" s="265"/>
      <c r="AP130" s="105"/>
      <c r="AR130" s="267"/>
      <c r="AT130" s="83" t="str">
        <f>'UC mounting materials '!$B$10</f>
        <v>Rail 30x15</v>
      </c>
      <c r="AU130" s="327">
        <f>IF(Z131&lt;1000,(Z131+100),0)*C131</f>
        <v>0</v>
      </c>
      <c r="AW130" s="265" t="s">
        <v>47</v>
      </c>
      <c r="AX130" s="106" t="s">
        <v>48</v>
      </c>
      <c r="AY130" s="83" t="s">
        <v>23</v>
      </c>
      <c r="AZ130" s="83" t="s">
        <v>23</v>
      </c>
      <c r="BA130" s="83" t="s">
        <v>23</v>
      </c>
      <c r="BB130" s="273" t="s">
        <v>23</v>
      </c>
    </row>
    <row r="131" spans="1:54" ht="15.75" customHeight="1" thickBot="1">
      <c r="A131" s="447"/>
      <c r="B131" s="92" t="s">
        <v>23</v>
      </c>
      <c r="C131" s="110"/>
      <c r="D131" s="94">
        <f>C131*O131</f>
        <v>0</v>
      </c>
      <c r="E131" s="95" t="s">
        <v>24</v>
      </c>
      <c r="F131" s="451" t="s">
        <v>25</v>
      </c>
      <c r="G131" s="452"/>
      <c r="H131" s="453"/>
      <c r="M131" s="111"/>
      <c r="N131" s="112">
        <f>(((2*(B129+C129))*D129)/1000000)</f>
        <v>0</v>
      </c>
      <c r="O131" s="112">
        <f>((IF(N131&lt;=informatieblad!$I$12,informatieblad!$I$12,IF(N131&gt;=informatieblad!$I$12,N131))))</f>
        <v>0.5</v>
      </c>
      <c r="P131" s="112">
        <f>(((2*B129)+(2*C129))*D129)/1000000</f>
        <v>0</v>
      </c>
      <c r="Q131" s="112">
        <f>((IF(P131&lt;=informatieblad!$H$12,informatieblad!$H$12,IF(P131&gt;=informatieblad!$H$12,P131))))</f>
        <v>0</v>
      </c>
      <c r="R131" s="113">
        <f>((Q131*X131)+(Q131*U131))*C131</f>
        <v>0</v>
      </c>
      <c r="S131" s="114">
        <f>((O131*W131)+(O131*V131))*C131</f>
        <v>0</v>
      </c>
      <c r="T131" s="115" t="str">
        <f>F131</f>
        <v>Options None</v>
      </c>
      <c r="U131" s="116">
        <f>VLOOKUP(F131,informatieblad!$A$37:$D$41,2,FALSE)</f>
        <v>0</v>
      </c>
      <c r="V131" s="116">
        <f>VLOOKUP(F131,informatieblad!$A$37:$D$41,4,FALSE)</f>
        <v>0</v>
      </c>
      <c r="W131" s="117">
        <f>((IF(D129&lt;=900,AC131,IF(D129&gt;=900,AE131))))</f>
        <v>45.1248</v>
      </c>
      <c r="X131" s="118">
        <f>((IF(D129&lt;=900,AB131,IF(D129&gt;=900,AD131))))</f>
        <v>0</v>
      </c>
      <c r="Y131" s="119"/>
      <c r="Z131" s="119">
        <f>(MAX(B129:C129))</f>
        <v>0</v>
      </c>
      <c r="AA131" s="119">
        <f>LOOKUP(Z131,informatieblad!$C$27:$C$32,informatieblad!$A$27:$A$32)</f>
        <v>0.5</v>
      </c>
      <c r="AB131" s="118">
        <f>VLOOKUP(AA131,informatieblad!$A$27:$M$32,6,FALSE)</f>
        <v>0</v>
      </c>
      <c r="AC131" s="118">
        <f>VLOOKUP(AA131,informatieblad!$A$27:$M$32,8,FALSE)</f>
        <v>45.1248</v>
      </c>
      <c r="AD131" s="118">
        <f>VLOOKUP(AA131,informatieblad!$A$27:$M$32,9,FALSE)</f>
        <v>0</v>
      </c>
      <c r="AE131" s="118">
        <f>VLOOKUP(AA131,informatieblad!$A$27:$M$32,11,FALSE)</f>
        <v>32.463200000000001</v>
      </c>
      <c r="AF131" s="120">
        <f>VLOOKUP(AA131,informatieblad!$A$27:$M$32,13,FALSE)</f>
        <v>4</v>
      </c>
      <c r="AG131" s="121">
        <f>ROUND((AF131*P131),1)</f>
        <v>0</v>
      </c>
      <c r="AI131" s="111">
        <f>(IF(B130=AI129,((2*B129)+(2*C129)),IF(B130=AI130,((2*B129)+(2*C129)),0)))*C131</f>
        <v>0</v>
      </c>
      <c r="AJ131" s="261">
        <f>(IF(C130=AI129,((2*B129)+(2*C129)),IF(C130=AI130,((2*B129)+(2*C129)),0)))*C131</f>
        <v>0</v>
      </c>
      <c r="AK131" s="111">
        <f>(IF(B130=AK129,((2*B129)+(2*C129)),IF(B130=AK130,((2*B129)+(2*C129)),0)))*C131</f>
        <v>0</v>
      </c>
      <c r="AL131" s="260">
        <f>(IF(C130=AK129,((2*B129)+(2*C129)),IF(C130=AK130,((2*B129)+(2*C129)),0)))*C131</f>
        <v>0</v>
      </c>
      <c r="AM131" s="261">
        <f>(IF(B130=AM129,((2*B129)+(2*C129)),IF(B130=AM130,((2*B129)+(2*C129)),0)))*C131</f>
        <v>0</v>
      </c>
      <c r="AN131" s="260">
        <f>(IF(C130=AM129,((2*B129)+(2*C129)),IF(C130=AM130,((2*B129)+(2*C129)),0)))*C131</f>
        <v>0</v>
      </c>
      <c r="AO131" s="111">
        <f>(IF(B130=AO129,((2*B129)+(2*C129)),0))*C131</f>
        <v>0</v>
      </c>
      <c r="AP131" s="260">
        <f>(IF(C130=AO129,((2*B129)+(2*C129)),0))*C131</f>
        <v>0</v>
      </c>
      <c r="AR131" s="268">
        <f>D129*C131</f>
        <v>0</v>
      </c>
      <c r="AT131" s="83" t="str">
        <f>'UC mounting materials '!$B$11</f>
        <v>Rail 41x41</v>
      </c>
      <c r="AU131" s="268">
        <f>IF(Z131&gt;999,(Z131+100),0)*C131</f>
        <v>0</v>
      </c>
      <c r="AW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AX131" s="275" t="str">
        <f>IF(C130=informatieblad!$A$6,informatieblad!$B$6,IF(C130=informatieblad!$A$7,informatieblad!$B$7,IF(C130=informatieblad!$A$8,informatieblad!$B$8,IF(C130=informatieblad!$A$2,informatieblad!$B$2,IF(C130=informatieblad!$A$3,informatieblad!$B$3,IF(C130=informatieblad!$A$4,informatieblad!$B$4,IF(C130=informatieblad!$A$5,informatieblad!$B$5,"")))))))</f>
        <v/>
      </c>
      <c r="AY131" s="276">
        <f>IF(AW131=AY129,(4*C131),0)</f>
        <v>0</v>
      </c>
      <c r="AZ131" s="276">
        <f>IF(AX131=AY129,(4*C131),0)</f>
        <v>0</v>
      </c>
      <c r="BA131" s="276">
        <f>IF(AW131=BA129,(4*C131),0)</f>
        <v>0</v>
      </c>
      <c r="BB131" s="274">
        <f>IF(AX131=BA129,(4*C131),0)</f>
        <v>0</v>
      </c>
    </row>
    <row r="132" spans="1:54" ht="5.0999999999999996" customHeight="1" thickBot="1">
      <c r="A132" s="335"/>
      <c r="B132" s="88"/>
      <c r="C132" s="336"/>
      <c r="D132" s="337"/>
      <c r="E132" s="174"/>
      <c r="F132" s="336"/>
      <c r="G132" s="338"/>
      <c r="H132" s="338"/>
      <c r="M132" s="83"/>
      <c r="N132" s="142"/>
      <c r="O132" s="142"/>
      <c r="P132" s="142"/>
      <c r="Q132" s="142"/>
      <c r="R132" s="143"/>
      <c r="S132" s="143"/>
      <c r="T132" s="339"/>
      <c r="U132" s="340"/>
      <c r="V132" s="340"/>
      <c r="W132" s="341"/>
      <c r="X132" s="144"/>
      <c r="Y132" s="83"/>
      <c r="Z132" s="83"/>
      <c r="AA132" s="83"/>
      <c r="AB132" s="144"/>
      <c r="AC132" s="144"/>
      <c r="AD132" s="144"/>
      <c r="AE132" s="144"/>
      <c r="AF132" s="142"/>
      <c r="AG132" s="142"/>
      <c r="AT132" s="83"/>
      <c r="BB132" s="273"/>
    </row>
    <row r="133" spans="1:54" ht="15.75" customHeight="1" thickBot="1">
      <c r="A133" s="445"/>
      <c r="B133" s="96"/>
      <c r="C133" s="96"/>
      <c r="D133" s="96"/>
      <c r="E133" s="448"/>
      <c r="F133" s="449"/>
      <c r="G133" s="449"/>
      <c r="H133" s="450"/>
      <c r="I133" s="345" t="s">
        <v>20</v>
      </c>
      <c r="M133" s="97" t="s">
        <v>14</v>
      </c>
      <c r="N133" s="98" t="s">
        <v>27</v>
      </c>
      <c r="O133" s="98" t="s">
        <v>28</v>
      </c>
      <c r="P133" s="98" t="s">
        <v>27</v>
      </c>
      <c r="Q133" s="98" t="s">
        <v>28</v>
      </c>
      <c r="R133" s="98" t="s">
        <v>29</v>
      </c>
      <c r="S133" s="66" t="s">
        <v>30</v>
      </c>
      <c r="T133" s="99" t="s">
        <v>31</v>
      </c>
      <c r="U133" s="99"/>
      <c r="V133" s="99"/>
      <c r="W133" s="98" t="s">
        <v>32</v>
      </c>
      <c r="X133" s="98" t="s">
        <v>32</v>
      </c>
      <c r="Y133" s="98"/>
      <c r="Z133" s="98" t="s">
        <v>33</v>
      </c>
      <c r="AA133" s="100" t="s">
        <v>34</v>
      </c>
      <c r="AB133" s="98" t="s">
        <v>32</v>
      </c>
      <c r="AC133" s="98" t="s">
        <v>32</v>
      </c>
      <c r="AD133" s="98" t="s">
        <v>32</v>
      </c>
      <c r="AE133" s="98" t="s">
        <v>32</v>
      </c>
      <c r="AF133" s="98" t="s">
        <v>64</v>
      </c>
      <c r="AG133" s="101" t="s">
        <v>36</v>
      </c>
      <c r="AI133" s="97" t="str">
        <f>informatieblad!$A$6</f>
        <v>FL20</v>
      </c>
      <c r="AJ133" s="99"/>
      <c r="AK133" s="97" t="str">
        <f>informatieblad!$A$7</f>
        <v>FL30</v>
      </c>
      <c r="AL133" s="66"/>
      <c r="AM133" s="99" t="str">
        <f>informatieblad!$A$8</f>
        <v>FL40</v>
      </c>
      <c r="AN133" s="66"/>
      <c r="AO133" s="97" t="str">
        <f>informatieblad!$A$5</f>
        <v>none</v>
      </c>
      <c r="AP133" s="264"/>
      <c r="AR133" s="266" t="s">
        <v>17</v>
      </c>
      <c r="AT133" s="83"/>
      <c r="AU133" s="266" t="s">
        <v>37</v>
      </c>
      <c r="AW133" s="269" t="s">
        <v>38</v>
      </c>
      <c r="AX133" s="272"/>
      <c r="AY133" s="272">
        <f>informatieblad!$B$3</f>
        <v>0</v>
      </c>
      <c r="AZ133" s="272">
        <f>informatieblad!$B$3</f>
        <v>0</v>
      </c>
      <c r="BA133" s="272">
        <f>informatieblad!$B$4</f>
        <v>0</v>
      </c>
      <c r="BB133" s="264">
        <f>informatieblad!$B$4</f>
        <v>0</v>
      </c>
    </row>
    <row r="134" spans="1:54" ht="15.75" customHeight="1">
      <c r="A134" s="446"/>
      <c r="B134" s="102" t="str">
        <f>IF($C135&gt;0,IF(MAX(B133:C133)&lt;informatieblad!$Q$4,informatieblad!$P$3,IF(MAX(B133:C133)&gt;informatieblad!$R$4,informatieblad!$P$5,informatieblad!$P$4)),"")</f>
        <v/>
      </c>
      <c r="C134" s="102" t="str">
        <f>IF($C135&gt;0,IF(MAX(B133:C133)&lt;informatieblad!$Q$4,informatieblad!$P$3,IF(MAX(B133:C133)&gt;informatieblad!$R$4,informatieblad!$P$5,informatieblad!$P$4)),"")</f>
        <v/>
      </c>
      <c r="D134" s="88"/>
      <c r="E134" s="89" t="str">
        <f>A133&amp;"-"&amp;informatieblad!$B$12&amp;"-"&amp;B133&amp;"-"&amp;C133&amp;"-"&amp;D133&amp;"-"&amp;B134&amp;"-"&amp;C134&amp;"-"&amp;F135</f>
        <v>-RctD------Options None</v>
      </c>
      <c r="F134" s="90"/>
      <c r="G134" s="90"/>
      <c r="H134" s="91"/>
      <c r="M134" s="103">
        <f>A133</f>
        <v>0</v>
      </c>
      <c r="N134" s="104" t="s">
        <v>39</v>
      </c>
      <c r="O134" s="104" t="s">
        <v>39</v>
      </c>
      <c r="P134" s="104" t="s">
        <v>40</v>
      </c>
      <c r="Q134" s="104" t="s">
        <v>40</v>
      </c>
      <c r="R134" s="104" t="s">
        <v>40</v>
      </c>
      <c r="S134" s="105"/>
      <c r="T134" s="106" t="s">
        <v>27</v>
      </c>
      <c r="U134" s="106" t="s">
        <v>40</v>
      </c>
      <c r="V134" s="106" t="s">
        <v>41</v>
      </c>
      <c r="W134" s="104" t="s">
        <v>42</v>
      </c>
      <c r="X134" s="104" t="s">
        <v>43</v>
      </c>
      <c r="Y134" s="104"/>
      <c r="Z134" s="104" t="s">
        <v>44</v>
      </c>
      <c r="AA134" s="107"/>
      <c r="AB134" s="104" t="s">
        <v>45</v>
      </c>
      <c r="AC134" s="104" t="s">
        <v>42</v>
      </c>
      <c r="AD134" s="104" t="s">
        <v>43</v>
      </c>
      <c r="AE134" s="104" t="s">
        <v>46</v>
      </c>
      <c r="AF134" s="108"/>
      <c r="AG134" s="109"/>
      <c r="AI134" s="262" t="str">
        <f>informatieblad!$A$2</f>
        <v>FL20 loose</v>
      </c>
      <c r="AJ134" s="263"/>
      <c r="AK134" s="262" t="str">
        <f>informatieblad!$A$3</f>
        <v>FL30 loose</v>
      </c>
      <c r="AL134" s="105"/>
      <c r="AM134" s="263" t="str">
        <f>informatieblad!$A$4</f>
        <v>FL40 loose</v>
      </c>
      <c r="AN134" s="105"/>
      <c r="AO134" s="265"/>
      <c r="AP134" s="105"/>
      <c r="AR134" s="267"/>
      <c r="AT134" s="83" t="str">
        <f>'UC mounting materials '!$B$10</f>
        <v>Rail 30x15</v>
      </c>
      <c r="AU134" s="327">
        <f>IF(Z135&lt;1000,(Z135+100),0)*C135</f>
        <v>0</v>
      </c>
      <c r="AW134" s="265" t="s">
        <v>47</v>
      </c>
      <c r="AX134" s="106" t="s">
        <v>48</v>
      </c>
      <c r="AY134" s="83" t="s">
        <v>23</v>
      </c>
      <c r="AZ134" s="83" t="s">
        <v>23</v>
      </c>
      <c r="BA134" s="83" t="s">
        <v>23</v>
      </c>
      <c r="BB134" s="273" t="s">
        <v>23</v>
      </c>
    </row>
    <row r="135" spans="1:54" ht="15.75" customHeight="1" thickBot="1">
      <c r="A135" s="447"/>
      <c r="B135" s="92" t="s">
        <v>23</v>
      </c>
      <c r="C135" s="110"/>
      <c r="D135" s="94">
        <f>C135*O135</f>
        <v>0</v>
      </c>
      <c r="E135" s="95" t="s">
        <v>24</v>
      </c>
      <c r="F135" s="451" t="s">
        <v>25</v>
      </c>
      <c r="G135" s="452"/>
      <c r="H135" s="453"/>
      <c r="M135" s="111"/>
      <c r="N135" s="112">
        <f>(((2*(B133+C133))*D133)/1000000)</f>
        <v>0</v>
      </c>
      <c r="O135" s="112">
        <f>((IF(N135&lt;=informatieblad!$I$12,informatieblad!$I$12,IF(N135&gt;=informatieblad!$I$12,N135))))</f>
        <v>0.5</v>
      </c>
      <c r="P135" s="112">
        <f>(((2*B133)+(2*C133))*D133)/1000000</f>
        <v>0</v>
      </c>
      <c r="Q135" s="112">
        <f>((IF(P135&lt;=informatieblad!$H$12,informatieblad!$H$12,IF(P135&gt;=informatieblad!$H$12,P135))))</f>
        <v>0</v>
      </c>
      <c r="R135" s="113">
        <f>((Q135*X135)+(Q135*U135))*C135</f>
        <v>0</v>
      </c>
      <c r="S135" s="114">
        <f>((O135*W135)+(O135*V135))*C135</f>
        <v>0</v>
      </c>
      <c r="T135" s="115" t="str">
        <f>F135</f>
        <v>Options None</v>
      </c>
      <c r="U135" s="116">
        <f>VLOOKUP(F135,informatieblad!$A$37:$D$41,2,FALSE)</f>
        <v>0</v>
      </c>
      <c r="V135" s="116">
        <f>VLOOKUP(F135,informatieblad!$A$37:$D$41,4,FALSE)</f>
        <v>0</v>
      </c>
      <c r="W135" s="117">
        <f>((IF(D133&lt;=900,AC135,IF(D133&gt;=900,AE135))))</f>
        <v>45.1248</v>
      </c>
      <c r="X135" s="118">
        <f>((IF(D133&lt;=900,AB135,IF(D133&gt;=900,AD135))))</f>
        <v>0</v>
      </c>
      <c r="Y135" s="119"/>
      <c r="Z135" s="119">
        <f>(MAX(B133:C133))</f>
        <v>0</v>
      </c>
      <c r="AA135" s="119">
        <f>LOOKUP(Z135,informatieblad!$C$27:$C$32,informatieblad!$A$27:$A$32)</f>
        <v>0.5</v>
      </c>
      <c r="AB135" s="118">
        <f>VLOOKUP(AA135,informatieblad!$A$27:$M$32,6,FALSE)</f>
        <v>0</v>
      </c>
      <c r="AC135" s="118">
        <f>VLOOKUP(AA135,informatieblad!$A$27:$M$32,8,FALSE)</f>
        <v>45.1248</v>
      </c>
      <c r="AD135" s="118">
        <f>VLOOKUP(AA135,informatieblad!$A$27:$M$32,9,FALSE)</f>
        <v>0</v>
      </c>
      <c r="AE135" s="118">
        <f>VLOOKUP(AA135,informatieblad!$A$27:$M$32,11,FALSE)</f>
        <v>32.463200000000001</v>
      </c>
      <c r="AF135" s="120">
        <f>VLOOKUP(AA135,informatieblad!$A$27:$M$32,13,FALSE)</f>
        <v>4</v>
      </c>
      <c r="AG135" s="121">
        <f>ROUND((AF135*P135),1)</f>
        <v>0</v>
      </c>
      <c r="AI135" s="111">
        <f>(IF(B134=AI133,((2*B133)+(2*C133)),IF(B134=AI134,((2*B133)+(2*C133)),0)))*C135</f>
        <v>0</v>
      </c>
      <c r="AJ135" s="261">
        <f>(IF(C134=AI133,((2*B133)+(2*C133)),IF(C134=AI134,((2*B133)+(2*C133)),0)))*C135</f>
        <v>0</v>
      </c>
      <c r="AK135" s="111">
        <f>(IF(B134=AK133,((2*B133)+(2*C133)),IF(B134=AK134,((2*B133)+(2*C133)),0)))*C135</f>
        <v>0</v>
      </c>
      <c r="AL135" s="260">
        <f>(IF(C134=AK133,((2*B133)+(2*C133)),IF(C134=AK134,((2*B133)+(2*C133)),0)))*C135</f>
        <v>0</v>
      </c>
      <c r="AM135" s="261">
        <f>(IF(B134=AM133,((2*B133)+(2*C133)),IF(B134=AM134,((2*B133)+(2*C133)),0)))*C135</f>
        <v>0</v>
      </c>
      <c r="AN135" s="260">
        <f>(IF(C134=AM133,((2*B133)+(2*C133)),IF(C134=AM134,((2*B133)+(2*C133)),0)))*C135</f>
        <v>0</v>
      </c>
      <c r="AO135" s="111">
        <f>(IF(B134=AO133,((2*B133)+(2*C133)),0))*C135</f>
        <v>0</v>
      </c>
      <c r="AP135" s="260">
        <f>(IF(C134=AO133,((2*B133)+(2*C133)),0))*C135</f>
        <v>0</v>
      </c>
      <c r="AR135" s="268">
        <f>D133*C135</f>
        <v>0</v>
      </c>
      <c r="AT135" s="83" t="str">
        <f>'UC mounting materials '!$B$11</f>
        <v>Rail 41x41</v>
      </c>
      <c r="AU135" s="268">
        <f>IF(Z135&gt;999,(Z135+100),0)*C135</f>
        <v>0</v>
      </c>
      <c r="AW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AX135" s="275" t="str">
        <f>IF(C134=informatieblad!$A$6,informatieblad!$B$6,IF(C134=informatieblad!$A$7,informatieblad!$B$7,IF(C134=informatieblad!$A$8,informatieblad!$B$8,IF(C134=informatieblad!$A$2,informatieblad!$B$2,IF(C134=informatieblad!$A$3,informatieblad!$B$3,IF(C134=informatieblad!$A$4,informatieblad!$B$4,IF(C134=informatieblad!$A$5,informatieblad!$B$5,"")))))))</f>
        <v/>
      </c>
      <c r="AY135" s="276">
        <f>IF(AW135=AY133,(4*C135),0)</f>
        <v>0</v>
      </c>
      <c r="AZ135" s="276">
        <f>IF(AX135=AY133,(4*C135),0)</f>
        <v>0</v>
      </c>
      <c r="BA135" s="276">
        <f>IF(AW135=BA133,(4*C135),0)</f>
        <v>0</v>
      </c>
      <c r="BB135" s="274">
        <f>IF(AX135=BA133,(4*C135),0)</f>
        <v>0</v>
      </c>
    </row>
    <row r="136" spans="1:54" ht="5.0999999999999996" customHeight="1" thickBot="1">
      <c r="A136" s="335"/>
      <c r="B136" s="88"/>
      <c r="C136" s="336"/>
      <c r="D136" s="337"/>
      <c r="E136" s="174"/>
      <c r="F136" s="336"/>
      <c r="G136" s="338"/>
      <c r="H136" s="338"/>
      <c r="M136" s="83"/>
      <c r="N136" s="142"/>
      <c r="O136" s="142"/>
      <c r="P136" s="142"/>
      <c r="Q136" s="142"/>
      <c r="R136" s="143"/>
      <c r="S136" s="143"/>
      <c r="T136" s="339"/>
      <c r="U136" s="340"/>
      <c r="V136" s="340"/>
      <c r="W136" s="341"/>
      <c r="X136" s="144"/>
      <c r="Y136" s="83"/>
      <c r="Z136" s="83"/>
      <c r="AA136" s="83"/>
      <c r="AB136" s="144"/>
      <c r="AC136" s="144"/>
      <c r="AD136" s="144"/>
      <c r="AE136" s="144"/>
      <c r="AF136" s="142"/>
      <c r="AG136" s="142"/>
      <c r="AT136" s="83"/>
      <c r="BB136" s="273"/>
    </row>
    <row r="137" spans="1:54" ht="15.75" customHeight="1" thickBot="1">
      <c r="A137" s="445"/>
      <c r="B137" s="96"/>
      <c r="C137" s="96"/>
      <c r="D137" s="96"/>
      <c r="E137" s="448"/>
      <c r="F137" s="449"/>
      <c r="G137" s="449"/>
      <c r="H137" s="450"/>
      <c r="I137" s="345" t="s">
        <v>20</v>
      </c>
      <c r="M137" s="97" t="s">
        <v>14</v>
      </c>
      <c r="N137" s="98" t="s">
        <v>27</v>
      </c>
      <c r="O137" s="98" t="s">
        <v>28</v>
      </c>
      <c r="P137" s="98" t="s">
        <v>27</v>
      </c>
      <c r="Q137" s="98" t="s">
        <v>28</v>
      </c>
      <c r="R137" s="98" t="s">
        <v>29</v>
      </c>
      <c r="S137" s="66" t="s">
        <v>30</v>
      </c>
      <c r="T137" s="99" t="s">
        <v>31</v>
      </c>
      <c r="U137" s="99"/>
      <c r="V137" s="99"/>
      <c r="W137" s="98" t="s">
        <v>32</v>
      </c>
      <c r="X137" s="98" t="s">
        <v>32</v>
      </c>
      <c r="Y137" s="98"/>
      <c r="Z137" s="98" t="s">
        <v>33</v>
      </c>
      <c r="AA137" s="100" t="s">
        <v>34</v>
      </c>
      <c r="AB137" s="98" t="s">
        <v>32</v>
      </c>
      <c r="AC137" s="98" t="s">
        <v>32</v>
      </c>
      <c r="AD137" s="98" t="s">
        <v>32</v>
      </c>
      <c r="AE137" s="98" t="s">
        <v>32</v>
      </c>
      <c r="AF137" s="98" t="s">
        <v>65</v>
      </c>
      <c r="AG137" s="101" t="s">
        <v>36</v>
      </c>
      <c r="AI137" s="97" t="str">
        <f>informatieblad!$A$6</f>
        <v>FL20</v>
      </c>
      <c r="AJ137" s="99"/>
      <c r="AK137" s="97" t="str">
        <f>informatieblad!$A$7</f>
        <v>FL30</v>
      </c>
      <c r="AL137" s="66"/>
      <c r="AM137" s="99" t="str">
        <f>informatieblad!$A$8</f>
        <v>FL40</v>
      </c>
      <c r="AN137" s="66"/>
      <c r="AO137" s="97" t="str">
        <f>informatieblad!$A$5</f>
        <v>none</v>
      </c>
      <c r="AP137" s="264"/>
      <c r="AR137" s="266" t="s">
        <v>17</v>
      </c>
      <c r="AT137" s="83"/>
      <c r="AU137" s="266" t="s">
        <v>37</v>
      </c>
      <c r="AW137" s="269" t="s">
        <v>38</v>
      </c>
      <c r="AX137" s="272"/>
      <c r="AY137" s="272">
        <f>informatieblad!$B$3</f>
        <v>0</v>
      </c>
      <c r="AZ137" s="272">
        <f>informatieblad!$B$3</f>
        <v>0</v>
      </c>
      <c r="BA137" s="272">
        <f>informatieblad!$B$4</f>
        <v>0</v>
      </c>
      <c r="BB137" s="264">
        <f>informatieblad!$B$4</f>
        <v>0</v>
      </c>
    </row>
    <row r="138" spans="1:54" ht="15.75" customHeight="1">
      <c r="A138" s="446"/>
      <c r="B138" s="102" t="str">
        <f>IF($C139&gt;0,IF(MAX(B137:C137)&lt;informatieblad!$Q$4,informatieblad!$P$3,IF(MAX(B137:C137)&gt;informatieblad!$R$4,informatieblad!$P$5,informatieblad!$P$4)),"")</f>
        <v/>
      </c>
      <c r="C138" s="102" t="str">
        <f>IF($C139&gt;0,IF(MAX(B137:C137)&lt;informatieblad!$Q$4,informatieblad!$P$3,IF(MAX(B137:C137)&gt;informatieblad!$R$4,informatieblad!$P$5,informatieblad!$P$4)),"")</f>
        <v/>
      </c>
      <c r="D138" s="88"/>
      <c r="E138" s="89" t="str">
        <f>A137&amp;"-"&amp;informatieblad!$B$12&amp;"-"&amp;B137&amp;"-"&amp;C137&amp;"-"&amp;D137&amp;"-"&amp;B138&amp;"-"&amp;C138&amp;"-"&amp;F139</f>
        <v>-RctD------Options None</v>
      </c>
      <c r="F138" s="90"/>
      <c r="G138" s="90"/>
      <c r="H138" s="91"/>
      <c r="M138" s="103">
        <f>A137</f>
        <v>0</v>
      </c>
      <c r="N138" s="104" t="s">
        <v>39</v>
      </c>
      <c r="O138" s="104" t="s">
        <v>39</v>
      </c>
      <c r="P138" s="104" t="s">
        <v>40</v>
      </c>
      <c r="Q138" s="104" t="s">
        <v>40</v>
      </c>
      <c r="R138" s="104" t="s">
        <v>40</v>
      </c>
      <c r="S138" s="105"/>
      <c r="T138" s="106" t="s">
        <v>27</v>
      </c>
      <c r="U138" s="106" t="s">
        <v>40</v>
      </c>
      <c r="V138" s="106" t="s">
        <v>41</v>
      </c>
      <c r="W138" s="104" t="s">
        <v>42</v>
      </c>
      <c r="X138" s="104" t="s">
        <v>43</v>
      </c>
      <c r="Y138" s="104"/>
      <c r="Z138" s="104" t="s">
        <v>44</v>
      </c>
      <c r="AA138" s="107"/>
      <c r="AB138" s="104" t="s">
        <v>45</v>
      </c>
      <c r="AC138" s="104" t="s">
        <v>42</v>
      </c>
      <c r="AD138" s="104" t="s">
        <v>43</v>
      </c>
      <c r="AE138" s="104" t="s">
        <v>46</v>
      </c>
      <c r="AF138" s="108"/>
      <c r="AG138" s="109"/>
      <c r="AI138" s="262" t="str">
        <f>informatieblad!$A$2</f>
        <v>FL20 loose</v>
      </c>
      <c r="AJ138" s="263"/>
      <c r="AK138" s="262" t="str">
        <f>informatieblad!$A$3</f>
        <v>FL30 loose</v>
      </c>
      <c r="AL138" s="105"/>
      <c r="AM138" s="263" t="str">
        <f>informatieblad!$A$4</f>
        <v>FL40 loose</v>
      </c>
      <c r="AN138" s="105"/>
      <c r="AO138" s="265"/>
      <c r="AP138" s="105"/>
      <c r="AR138" s="267"/>
      <c r="AT138" s="83" t="str">
        <f>'UC mounting materials '!$B$10</f>
        <v>Rail 30x15</v>
      </c>
      <c r="AU138" s="327">
        <f>IF(Z139&lt;1000,(Z139+100),0)*C139</f>
        <v>0</v>
      </c>
      <c r="AW138" s="265" t="s">
        <v>47</v>
      </c>
      <c r="AX138" s="106" t="s">
        <v>48</v>
      </c>
      <c r="AY138" s="83" t="s">
        <v>23</v>
      </c>
      <c r="AZ138" s="83" t="s">
        <v>23</v>
      </c>
      <c r="BA138" s="83" t="s">
        <v>23</v>
      </c>
      <c r="BB138" s="273" t="s">
        <v>23</v>
      </c>
    </row>
    <row r="139" spans="1:54" ht="15.75" customHeight="1" thickBot="1">
      <c r="A139" s="447"/>
      <c r="B139" s="92" t="s">
        <v>23</v>
      </c>
      <c r="C139" s="110"/>
      <c r="D139" s="94">
        <f>C139*O139</f>
        <v>0</v>
      </c>
      <c r="E139" s="95" t="s">
        <v>24</v>
      </c>
      <c r="F139" s="451" t="s">
        <v>25</v>
      </c>
      <c r="G139" s="452"/>
      <c r="H139" s="453"/>
      <c r="M139" s="111"/>
      <c r="N139" s="112">
        <f>(((2*(B137+C137))*D137)/1000000)</f>
        <v>0</v>
      </c>
      <c r="O139" s="112">
        <f>((IF(N139&lt;=informatieblad!$I$12,informatieblad!$I$12,IF(N139&gt;=informatieblad!$I$12,N139))))</f>
        <v>0.5</v>
      </c>
      <c r="P139" s="112">
        <f>(((2*B137)+(2*C137))*D137)/1000000</f>
        <v>0</v>
      </c>
      <c r="Q139" s="112">
        <f>((IF(P139&lt;=informatieblad!$H$12,informatieblad!$H$12,IF(P139&gt;=informatieblad!$H$12,P139))))</f>
        <v>0</v>
      </c>
      <c r="R139" s="113">
        <f>((Q139*X139)+(Q139*U139))*C139</f>
        <v>0</v>
      </c>
      <c r="S139" s="114">
        <f>((O139*W139)+(O139*V139))*C139</f>
        <v>0</v>
      </c>
      <c r="T139" s="115" t="str">
        <f>F139</f>
        <v>Options None</v>
      </c>
      <c r="U139" s="116">
        <f>VLOOKUP(F139,informatieblad!$A$37:$D$41,2,FALSE)</f>
        <v>0</v>
      </c>
      <c r="V139" s="116">
        <f>VLOOKUP(F139,informatieblad!$A$37:$D$41,4,FALSE)</f>
        <v>0</v>
      </c>
      <c r="W139" s="117">
        <f>((IF(D137&lt;=900,AC139,IF(D137&gt;=900,AE139))))</f>
        <v>45.1248</v>
      </c>
      <c r="X139" s="118">
        <f>((IF(D137&lt;=900,AB139,IF(D137&gt;=900,AD139))))</f>
        <v>0</v>
      </c>
      <c r="Y139" s="119"/>
      <c r="Z139" s="119">
        <f>(MAX(B137:C137))</f>
        <v>0</v>
      </c>
      <c r="AA139" s="119">
        <f>LOOKUP(Z139,informatieblad!$C$27:$C$32,informatieblad!$A$27:$A$32)</f>
        <v>0.5</v>
      </c>
      <c r="AB139" s="118">
        <f>VLOOKUP(AA139,informatieblad!$A$27:$M$32,6,FALSE)</f>
        <v>0</v>
      </c>
      <c r="AC139" s="118">
        <f>VLOOKUP(AA139,informatieblad!$A$27:$M$32,8,FALSE)</f>
        <v>45.1248</v>
      </c>
      <c r="AD139" s="118">
        <f>VLOOKUP(AA139,informatieblad!$A$27:$M$32,9,FALSE)</f>
        <v>0</v>
      </c>
      <c r="AE139" s="118">
        <f>VLOOKUP(AA139,informatieblad!$A$27:$M$32,11,FALSE)</f>
        <v>32.463200000000001</v>
      </c>
      <c r="AF139" s="120">
        <f>VLOOKUP(AA139,informatieblad!$A$27:$M$32,13,FALSE)</f>
        <v>4</v>
      </c>
      <c r="AG139" s="121">
        <f>ROUND((AF139*P139),1)</f>
        <v>0</v>
      </c>
      <c r="AI139" s="111">
        <f>(IF(B138=AI137,((2*B137)+(2*C137)),IF(B138=AI138,((2*B137)+(2*C137)),0)))*C139</f>
        <v>0</v>
      </c>
      <c r="AJ139" s="261">
        <f>(IF(C138=AI137,((2*B137)+(2*C137)),IF(C138=AI138,((2*B137)+(2*C137)),0)))*C139</f>
        <v>0</v>
      </c>
      <c r="AK139" s="111">
        <f>(IF(B138=AK137,((2*B137)+(2*C137)),IF(B138=AK138,((2*B137)+(2*C137)),0)))*C139</f>
        <v>0</v>
      </c>
      <c r="AL139" s="260">
        <f>(IF(C138=AK137,((2*B137)+(2*C137)),IF(C138=AK138,((2*B137)+(2*C137)),0)))*C139</f>
        <v>0</v>
      </c>
      <c r="AM139" s="261">
        <f>(IF(B138=AM137,((2*B137)+(2*C137)),IF(B138=AM138,((2*B137)+(2*C137)),0)))*C139</f>
        <v>0</v>
      </c>
      <c r="AN139" s="260">
        <f>(IF(C138=AM137,((2*B137)+(2*C137)),IF(C138=AM138,((2*B137)+(2*C137)),0)))*C139</f>
        <v>0</v>
      </c>
      <c r="AO139" s="111">
        <f>(IF(B138=AO137,((2*B137)+(2*C137)),0))*C139</f>
        <v>0</v>
      </c>
      <c r="AP139" s="260">
        <f>(IF(C138=AO137,((2*B137)+(2*C137)),0))*C139</f>
        <v>0</v>
      </c>
      <c r="AR139" s="268">
        <f>D137*C139</f>
        <v>0</v>
      </c>
      <c r="AT139" s="83" t="str">
        <f>'UC mounting materials '!$B$11</f>
        <v>Rail 41x41</v>
      </c>
      <c r="AU139" s="268">
        <f>IF(Z139&gt;999,(Z139+100),0)*C139</f>
        <v>0</v>
      </c>
      <c r="AW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AX139" s="275" t="str">
        <f>IF(C138=informatieblad!$A$6,informatieblad!$B$6,IF(C138=informatieblad!$A$7,informatieblad!$B$7,IF(C138=informatieblad!$A$8,informatieblad!$B$8,IF(C138=informatieblad!$A$2,informatieblad!$B$2,IF(C138=informatieblad!$A$3,informatieblad!$B$3,IF(C138=informatieblad!$A$4,informatieblad!$B$4,IF(C138=informatieblad!$A$5,informatieblad!$B$5,"")))))))</f>
        <v/>
      </c>
      <c r="AY139" s="276">
        <f>IF(AW139=AY137,(4*C139),0)</f>
        <v>0</v>
      </c>
      <c r="AZ139" s="276">
        <f>IF(AX139=AY137,(4*C139),0)</f>
        <v>0</v>
      </c>
      <c r="BA139" s="276">
        <f>IF(AW139=BA137,(4*C139),0)</f>
        <v>0</v>
      </c>
      <c r="BB139" s="274">
        <f>IF(AX139=BA137,(4*C139),0)</f>
        <v>0</v>
      </c>
    </row>
    <row r="140" spans="1:54" ht="15" thickBot="1">
      <c r="AI140" s="277" t="s">
        <v>66</v>
      </c>
      <c r="AJ140" s="278">
        <f>SUM(AI23:AJ23,AI27:AJ27,AI31:AJ31,AI35:AJ35,AI39:AJ39,AI43:AJ43,AI47:AJ47,AI51:AJ51,AI55:AJ55,AI59:AJ59,AI63:AJ63,AI67:AJ67,AI71:AJ71,AI75:AJ75,AI79:AJ79,AI83:AJ83,AI87:AJ87,AI91:AJ91,AI95:AJ95,AI99:AJ99,AI103:AJ103,AI107:AJ107,AI111:AJ111,AI115:AJ115,AI119:AJ119,AI123:AJ123,AI127:AJ127,AI131:AJ131,AI135:AJ135,AI139:AJ139)</f>
        <v>0</v>
      </c>
      <c r="AK140" s="277" t="s">
        <v>67</v>
      </c>
      <c r="AL140" s="278">
        <f>SUM(AK23:AL23,AK27:AL27,AK31:AL31,AK35:AL35,AK39:AL39,AK43:AL43,AK47:AL47,AK51:AL51,AK55:AL55,AK59:AL59,AK63:AL63,AK67:AL67,AK71:AL71,AK75:AL75,AK79:AL79,AK83:AL83,AK87:AL87,AK91:AL91,AK95:AL95,AK99:AL99,AK103:AL103,AK107:AL107,AK111:AL111,AK115:AL115,AK119:AL119,AK123:AL123,AK127:AL127,AK131:AL131,AK135:AL135,AK139:AL139)</f>
        <v>0</v>
      </c>
      <c r="AM140" s="277" t="s">
        <v>68</v>
      </c>
      <c r="AN140" s="278">
        <f>SUM(AM23:AN23,AM27:AN27,AM31:AN31,AM35:AN35,AM39:AN39,AM43:AN43,AM47:AN47,AM51:AN51,AM55:AN55,AM59:AN59,AM63:AN63,AM67:AN67,AM71:AN71,AM75:AN75,AM79:AN79,AM83:AN83,AM87:AN87,AM91:AN91,AM95:AN95,AM99:AN99,AM103:AN103,AM107:AN107,AM111:AN111,AM115:AN115,AM119:AN119,AM123:AN123,AM127:AN127,AM131:AN131,AM135:AN135,AM139:AN139)</f>
        <v>0</v>
      </c>
      <c r="AO140" s="277" t="s">
        <v>69</v>
      </c>
      <c r="AP140" s="278">
        <f>SUM(AO23:AP23,AO27:AP27,AO31:AP31,AO35:AP35,AO39:AP39,AO43:AP43,AO47:AP47,AO51:AP51,AO55:AP55,AO59:AP59,AO63:AP63,AO67:AP67,AO71:AP71,AO75:AP75,AO79:AP79,AO83:AP83,AO87:AP87,AO91:AP91,AO95:AP95,AO99:AP99,AO103:AP103,AO107:AP107,AO111:AP111,AO115:AP115,AO119:AP119,AO123:AP123,AO127:AP127,AO131:AP131,AO135:AP135,AO139:AP139)</f>
        <v>0</v>
      </c>
      <c r="AQ140" s="342"/>
      <c r="AR140" s="280">
        <f>SUM(AR23,AR27,AR31,AR35,AR39,AR43,AR47,AR51,AR55,AR59,AR63,AR67,AR71,AR75,AR79,AR83,AR87,AR91,AR95,AR99,AR103,AR107,AR111,AR115,AR119,AR123,AR127,AR131,AR135,AR139)</f>
        <v>0</v>
      </c>
      <c r="AU140" s="131"/>
      <c r="AY140" s="277" t="s">
        <v>70</v>
      </c>
      <c r="AZ140" s="278">
        <f>SUM(AY23:AZ23,AY27:AZ27,AY31:AZ31,AY35:AZ35,AY39:AZ39,AY43:AZ43,AY47:AZ47,AY51:AZ51,AY55:AZ55,AY59:AZ59,AY63:AZ63,AY67:AZ67,AY71:AZ71,AY75:AZ75,AY79:AZ79,AY83:AZ83,AY87:AZ87,AY91:AZ91,AY95:AZ95,AY99:AZ99,AY103:AZ103,AY107:AZ107,AY111:AZ111,AY115:AZ115,AY119:AZ119,AY123:AZ123,AY127:AZ127,AY131:AZ131,AY135:AZ135,AY139:AZ139)</f>
        <v>0</v>
      </c>
      <c r="BA140" s="277" t="s">
        <v>71</v>
      </c>
      <c r="BB140" s="278">
        <f>SUM(BA23:BB23,BA27:BB27,BA31:BB31,BA35:BB35,BA39:BB39,BA43:BB43,BA47:BB47,BA51:BB51,BA55:BB55,BA59:BB59,BA63:BB63,BA67:BB67,BA71:BB71,BA75:BB75,BA79:BB79,BA83:BB83,BA87:BB87,BA91:BB91,BA95:BB95,BA99:BB99,BA103:BB103,BA107:BB107,BA111:BB111,BA115:BB115,BA119:BB119,BA123:BB123,BA127:BB127,BA131:BB131,BA135:BB135,BA139:BB139)</f>
        <v>0</v>
      </c>
    </row>
    <row r="141" spans="1:54">
      <c r="AT141" s="284" t="str">
        <f>'UC mounting materials '!$B$10</f>
        <v>Rail 30x15</v>
      </c>
      <c r="AU141" s="285" t="str">
        <f>'UC mounting materials '!$B$11</f>
        <v>Rail 41x41</v>
      </c>
    </row>
    <row r="142" spans="1:54" ht="15" thickBot="1">
      <c r="AT142" s="111">
        <f>SUM(AU22,AU26,AU30,AU34,AU38,AU42,AU46,AU50,AU54,AU59,AU63,AU67,AU71,AU75,AU79,AU83,AU87,AU91,AU95,AU99,AU103,AU107,AU111,AU115,AU119,AU123,AU127,AU131,AU135,AU139)</f>
        <v>0</v>
      </c>
      <c r="AU142" s="283">
        <f>SUM(AU23,AU27,AU31,AU35,AU39,AU43,AU47,AU51,AU55,AU59,AU63,AU67,AU71,AU75,AU79,AU83,AU87,AU91,AU95,AU99,AU103,AU107,AU111,AU115,AU119,AU123,AU127,AU131,AU135,AU139)</f>
        <v>0</v>
      </c>
    </row>
  </sheetData>
  <sheetProtection algorithmName="SHA-512" hashValue="+WVVcipUnIcsP6yHGlEtDtUtk2xWvk4oVyM41fKEh2rkIl/cil6JhcNS1roNcKXctkHm8R/7fmrYXWJOIoahXw==" saltValue="WdTecVIEXBdYZnnFFlsc/Q==" spinCount="100000" sheet="1" objects="1" scenarios="1"/>
  <mergeCells count="92">
    <mergeCell ref="A133:A135"/>
    <mergeCell ref="E133:H133"/>
    <mergeCell ref="F135:H135"/>
    <mergeCell ref="A137:A139"/>
    <mergeCell ref="E137:H137"/>
    <mergeCell ref="F139:H139"/>
    <mergeCell ref="A53:A55"/>
    <mergeCell ref="F55:H55"/>
    <mergeCell ref="A41:A43"/>
    <mergeCell ref="F43:H43"/>
    <mergeCell ref="A45:A47"/>
    <mergeCell ref="F47:H47"/>
    <mergeCell ref="A49:A51"/>
    <mergeCell ref="F51:H51"/>
    <mergeCell ref="E41:H41"/>
    <mergeCell ref="E45:H45"/>
    <mergeCell ref="E53:H53"/>
    <mergeCell ref="A29:A31"/>
    <mergeCell ref="F31:H31"/>
    <mergeCell ref="A33:A35"/>
    <mergeCell ref="F35:H35"/>
    <mergeCell ref="A37:A39"/>
    <mergeCell ref="F39:H39"/>
    <mergeCell ref="E29:H29"/>
    <mergeCell ref="E33:H33"/>
    <mergeCell ref="E37:H37"/>
    <mergeCell ref="A17:A19"/>
    <mergeCell ref="F19:H19"/>
    <mergeCell ref="A21:A23"/>
    <mergeCell ref="F23:H23"/>
    <mergeCell ref="A25:A27"/>
    <mergeCell ref="F27:H27"/>
    <mergeCell ref="E17:H17"/>
    <mergeCell ref="E21:H21"/>
    <mergeCell ref="E25:H25"/>
    <mergeCell ref="A65:A67"/>
    <mergeCell ref="E65:H65"/>
    <mergeCell ref="F67:H67"/>
    <mergeCell ref="A57:A59"/>
    <mergeCell ref="E57:H57"/>
    <mergeCell ref="F59:H59"/>
    <mergeCell ref="A61:A63"/>
    <mergeCell ref="E61:H61"/>
    <mergeCell ref="F63:H63"/>
    <mergeCell ref="A73:A75"/>
    <mergeCell ref="E73:H73"/>
    <mergeCell ref="F75:H75"/>
    <mergeCell ref="F71:H71"/>
    <mergeCell ref="E69:H69"/>
    <mergeCell ref="A69:A71"/>
    <mergeCell ref="A77:A79"/>
    <mergeCell ref="E77:H77"/>
    <mergeCell ref="F79:H79"/>
    <mergeCell ref="A81:A83"/>
    <mergeCell ref="E81:H81"/>
    <mergeCell ref="F83:H83"/>
    <mergeCell ref="A85:A87"/>
    <mergeCell ref="E85:H85"/>
    <mergeCell ref="F87:H87"/>
    <mergeCell ref="A89:A91"/>
    <mergeCell ref="E89:H89"/>
    <mergeCell ref="F91:H91"/>
    <mergeCell ref="A93:A95"/>
    <mergeCell ref="E93:H93"/>
    <mergeCell ref="F95:H95"/>
    <mergeCell ref="A97:A99"/>
    <mergeCell ref="E97:H97"/>
    <mergeCell ref="F99:H99"/>
    <mergeCell ref="A109:A111"/>
    <mergeCell ref="E109:H109"/>
    <mergeCell ref="F111:H111"/>
    <mergeCell ref="A101:A103"/>
    <mergeCell ref="E101:H101"/>
    <mergeCell ref="F103:H103"/>
    <mergeCell ref="A105:A107"/>
    <mergeCell ref="E105:H105"/>
    <mergeCell ref="F107:H107"/>
    <mergeCell ref="A113:A115"/>
    <mergeCell ref="E113:H113"/>
    <mergeCell ref="F115:H115"/>
    <mergeCell ref="A117:A119"/>
    <mergeCell ref="E117:H117"/>
    <mergeCell ref="F119:H119"/>
    <mergeCell ref="A129:A131"/>
    <mergeCell ref="E129:H129"/>
    <mergeCell ref="F131:H131"/>
    <mergeCell ref="A121:A123"/>
    <mergeCell ref="E121:H121"/>
    <mergeCell ref="F123:H123"/>
    <mergeCell ref="A125:A127"/>
    <mergeCell ref="E125:H125"/>
    <mergeCell ref="F127:H127"/>
  </mergeCells>
  <phoneticPr fontId="3" type="noConversion"/>
  <conditionalFormatting sqref="D17">
    <cfRule type="cellIs" dxfId="200" priority="27" operator="greaterThan">
      <formula>1500</formula>
    </cfRule>
    <cfRule type="cellIs" dxfId="199" priority="28" operator="between">
      <formula>1</formula>
      <formula>99</formula>
    </cfRule>
  </conditionalFormatting>
  <conditionalFormatting sqref="D21">
    <cfRule type="cellIs" dxfId="198" priority="25" operator="greaterThan">
      <formula>1500</formula>
    </cfRule>
    <cfRule type="cellIs" dxfId="197" priority="26" operator="between">
      <formula>1</formula>
      <formula>99</formula>
    </cfRule>
  </conditionalFormatting>
  <conditionalFormatting sqref="D25">
    <cfRule type="cellIs" dxfId="196" priority="23" operator="greaterThan">
      <formula>1500</formula>
    </cfRule>
    <cfRule type="cellIs" dxfId="195" priority="24" operator="between">
      <formula>1</formula>
      <formula>99</formula>
    </cfRule>
  </conditionalFormatting>
  <conditionalFormatting sqref="D29">
    <cfRule type="cellIs" dxfId="194" priority="21" operator="greaterThan">
      <formula>1500</formula>
    </cfRule>
    <cfRule type="cellIs" dxfId="193" priority="22" operator="between">
      <formula>1</formula>
      <formula>99</formula>
    </cfRule>
  </conditionalFormatting>
  <conditionalFormatting sqref="D33">
    <cfRule type="cellIs" dxfId="192" priority="19" operator="greaterThan">
      <formula>1500</formula>
    </cfRule>
    <cfRule type="cellIs" dxfId="191" priority="20" operator="between">
      <formula>1</formula>
      <formula>99</formula>
    </cfRule>
  </conditionalFormatting>
  <conditionalFormatting sqref="D37">
    <cfRule type="cellIs" dxfId="190" priority="17" operator="greaterThan">
      <formula>1500</formula>
    </cfRule>
    <cfRule type="cellIs" dxfId="189" priority="18" operator="between">
      <formula>1</formula>
      <formula>99</formula>
    </cfRule>
  </conditionalFormatting>
  <conditionalFormatting sqref="D41">
    <cfRule type="cellIs" dxfId="188" priority="15" operator="greaterThan">
      <formula>1500</formula>
    </cfRule>
    <cfRule type="cellIs" dxfId="187" priority="16" operator="between">
      <formula>1</formula>
      <formula>99</formula>
    </cfRule>
  </conditionalFormatting>
  <conditionalFormatting sqref="D45">
    <cfRule type="cellIs" dxfId="186" priority="13" operator="greaterThan">
      <formula>1500</formula>
    </cfRule>
    <cfRule type="cellIs" dxfId="185" priority="14" operator="between">
      <formula>1</formula>
      <formula>99</formula>
    </cfRule>
  </conditionalFormatting>
  <conditionalFormatting sqref="D49">
    <cfRule type="cellIs" dxfId="184" priority="11" operator="greaterThan">
      <formula>1500</formula>
    </cfRule>
    <cfRule type="cellIs" dxfId="183" priority="12" operator="between">
      <formula>1</formula>
      <formula>99</formula>
    </cfRule>
  </conditionalFormatting>
  <conditionalFormatting sqref="D53">
    <cfRule type="cellIs" dxfId="182" priority="9" operator="greaterThan">
      <formula>1500</formula>
    </cfRule>
    <cfRule type="cellIs" dxfId="181" priority="10" operator="between">
      <formula>1</formula>
      <formula>99</formula>
    </cfRule>
  </conditionalFormatting>
  <conditionalFormatting sqref="D57">
    <cfRule type="cellIs" dxfId="180" priority="7" operator="greaterThan">
      <formula>1500</formula>
    </cfRule>
    <cfRule type="cellIs" dxfId="179" priority="8" operator="between">
      <formula>1</formula>
      <formula>99</formula>
    </cfRule>
  </conditionalFormatting>
  <conditionalFormatting sqref="D61">
    <cfRule type="cellIs" dxfId="178" priority="5" operator="greaterThan">
      <formula>1500</formula>
    </cfRule>
    <cfRule type="cellIs" dxfId="177" priority="6" operator="between">
      <formula>1</formula>
      <formula>99</formula>
    </cfRule>
  </conditionalFormatting>
  <conditionalFormatting sqref="D65">
    <cfRule type="cellIs" dxfId="176" priority="3" operator="greaterThan">
      <formula>1500</formula>
    </cfRule>
    <cfRule type="cellIs" dxfId="175" priority="4" operator="between">
      <formula>1</formula>
      <formula>99</formula>
    </cfRule>
  </conditionalFormatting>
  <conditionalFormatting sqref="D69 D73 D77 D81 D85 D89 D93 D97 D101 D105 D109 D113 D117 D121 D125 D129 D133 D137">
    <cfRule type="cellIs" dxfId="174" priority="1" operator="greaterThan">
      <formula>1500</formula>
    </cfRule>
    <cfRule type="cellIs" dxfId="173" priority="2" operator="between">
      <formula>1</formula>
      <formula>99</formula>
    </cfRule>
  </conditionalFormatting>
  <dataValidations disablePrompts="1" count="2">
    <dataValidation type="list" allowBlank="1" showInputMessage="1" showErrorMessage="1" sqref="B18 B22:C22 B26:C26 B30:C30 B34:C34 B38:C38 B42:C42 B46:C46 B50:C50 B54:C54 B62:C62 B66:C66 B70:C70 B74:C74 B78:C78 B82:C82 B86:C86 B90:C90 B94:C94 B98:C98 B102:C102 B106:C106 B110:C110 B114:C114 B118:C118 B122:C122 B126:C126 B130:C130 B134:C134 B138:C138" xr:uid="{061EBB88-DD7B-470C-886A-475AE17925BA}">
      <formula1>Options_flanges</formula1>
    </dataValidation>
    <dataValidation type="list" allowBlank="1" showInputMessage="1" showErrorMessage="1" sqref="F19:H19 F23:H23 F27:H27 F31:H31 F35:H35 F39:H39 F43:H43 F47:H47 F51:H51 F55:H59 F63:H63 F67:H68 F71:H72 F75:H76 F79:H80 F83:H84 F87:H88 F91:H92 F95:H96 F99:H100 F103:H104 F107:H108 F111:H112 F115:H116 F119:H120 F123:H124 F127:H128 F131:H132 F135:H136 F139:H139" xr:uid="{87CA7939-1D46-4E43-B85F-0CB659945EDE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CC64-3CB4-4210-A763-21548409DCC3}">
  <sheetPr codeName="Blad1">
    <tabColor rgb="FFFFC000"/>
  </sheetPr>
  <dimension ref="A1:BD141"/>
  <sheetViews>
    <sheetView showGridLines="0" showZeros="0" view="pageBreakPreview" zoomScaleNormal="85" zoomScaleSheetLayoutView="100" workbookViewId="0">
      <pane xSplit="10" ySplit="15" topLeftCell="K16" activePane="bottomRight" state="frozen"/>
      <selection pane="bottomRight" activeCell="A20" sqref="A20:A22"/>
      <selection pane="bottomLeft" activeCell="A16" sqref="A16"/>
      <selection pane="topRight" activeCell="K1" sqref="K1"/>
    </sheetView>
  </sheetViews>
  <sheetFormatPr defaultColWidth="9.140625" defaultRowHeight="14.25"/>
  <cols>
    <col min="1" max="10" width="9.7109375" style="64" customWidth="1"/>
    <col min="11" max="11" width="50.7109375" style="64" customWidth="1"/>
    <col min="12" max="15" width="0" style="64" hidden="1" customWidth="1"/>
    <col min="16" max="16" width="12" style="64" hidden="1" customWidth="1"/>
    <col min="17" max="17" width="19.42578125" style="64" hidden="1" customWidth="1"/>
    <col min="18" max="18" width="10.42578125" style="64" hidden="1" customWidth="1"/>
    <col min="19" max="19" width="22" style="64" hidden="1" customWidth="1"/>
    <col min="20" max="20" width="24.85546875" style="64" hidden="1" customWidth="1"/>
    <col min="21" max="24" width="20.28515625" style="64" hidden="1" customWidth="1"/>
    <col min="25" max="27" width="15.28515625" style="64" hidden="1" customWidth="1"/>
    <col min="28" max="28" width="30.28515625" style="64" hidden="1" customWidth="1"/>
    <col min="29" max="29" width="24" style="64" hidden="1" customWidth="1"/>
    <col min="30" max="30" width="23.7109375" style="64" hidden="1" customWidth="1"/>
    <col min="31" max="31" width="19.140625" style="64" hidden="1" customWidth="1"/>
    <col min="32" max="33" width="12.85546875" style="64" hidden="1" customWidth="1"/>
    <col min="34" max="35" width="9.42578125" style="64" hidden="1" customWidth="1"/>
    <col min="36" max="36" width="0" style="64" hidden="1" customWidth="1"/>
    <col min="37" max="37" width="14.28515625" style="64" hidden="1" customWidth="1"/>
    <col min="38" max="38" width="0" style="64" hidden="1" customWidth="1"/>
    <col min="39" max="39" width="14.28515625" style="64" hidden="1" customWidth="1"/>
    <col min="40" max="40" width="0" style="64" hidden="1" customWidth="1"/>
    <col min="41" max="41" width="14.28515625" style="64" hidden="1" customWidth="1"/>
    <col min="42" max="42" width="0" style="64" hidden="1" customWidth="1"/>
    <col min="43" max="43" width="13.140625" style="64" hidden="1" customWidth="1"/>
    <col min="44" max="44" width="0" style="64" hidden="1" customWidth="1"/>
    <col min="45" max="45" width="1.7109375" style="64" hidden="1" customWidth="1"/>
    <col min="46" max="46" width="0" style="64" hidden="1" customWidth="1"/>
    <col min="47" max="47" width="1.7109375" style="64" hidden="1" customWidth="1"/>
    <col min="48" max="49" width="12.5703125" style="64" hidden="1" customWidth="1"/>
    <col min="50" max="50" width="1.7109375" style="64" hidden="1" customWidth="1"/>
    <col min="51" max="51" width="14.28515625" style="64" hidden="1" customWidth="1"/>
    <col min="52" max="52" width="0" style="64" hidden="1" customWidth="1"/>
    <col min="53" max="53" width="11" style="64" hidden="1" customWidth="1"/>
    <col min="54" max="54" width="9.85546875" style="64" hidden="1" customWidth="1"/>
    <col min="55" max="55" width="12.5703125" style="64" hidden="1" customWidth="1"/>
    <col min="56" max="56" width="9.85546875" style="64" hidden="1" customWidth="1"/>
    <col min="57" max="16384" width="9.140625" style="64"/>
  </cols>
  <sheetData>
    <row r="1" spans="1:35">
      <c r="A1" s="61"/>
      <c r="B1" s="62"/>
      <c r="C1" s="62"/>
      <c r="D1" s="62"/>
      <c r="E1" s="62"/>
      <c r="F1" s="62"/>
      <c r="G1" s="62"/>
      <c r="H1" s="62"/>
      <c r="I1" s="62"/>
      <c r="J1" s="63"/>
      <c r="O1" s="65" t="str">
        <f>informatieblad!F12&amp;" "&amp;informatieblad!D13</f>
        <v>Total aantal of Verloopstukken  (RctR)</v>
      </c>
      <c r="P1" s="62"/>
      <c r="Q1" s="62"/>
      <c r="R1" s="62"/>
      <c r="S1" s="62"/>
      <c r="T1" s="353">
        <f>C22+C26+C30+C34+C38+C42+C46+C50+C54+C58+C62+C66+C70+C74+C78+C82+C86+C90+C94+C98+C102+C106+C110+C114+C118+C122+C126+C130+C134+C136</f>
        <v>0</v>
      </c>
    </row>
    <row r="2" spans="1:35">
      <c r="A2" s="67"/>
      <c r="J2" s="68"/>
      <c r="O2" s="69" t="str">
        <f>informatieblad!F13</f>
        <v>Total purchase price</v>
      </c>
      <c r="T2" s="343">
        <f>T22+T26+T30+T34+T38+T42+T46+T50+T54+T58+T62+T66+T70+T74+T78+T82+T86+T90+T94+T98+T102+T106+T110+T114+T118+T122+T126+T130+T134+T138</f>
        <v>0</v>
      </c>
    </row>
    <row r="3" spans="1:35" ht="15" thickBot="1">
      <c r="A3" s="67"/>
      <c r="J3" s="68"/>
      <c r="O3" s="71" t="str">
        <f>informatieblad!F14</f>
        <v>Total sales price</v>
      </c>
      <c r="P3" s="72"/>
      <c r="Q3" s="72"/>
      <c r="R3" s="72"/>
      <c r="S3" s="72"/>
      <c r="T3" s="238">
        <f>U22+U26+U30+U34+U38+U42+U46+U50+U54+U58+U62+U66+U70+U74+U78+U82+U86+U90+U94+U98+U102+U106+U110+U114+U118+U122+U126+U130+U134+U138</f>
        <v>0</v>
      </c>
    </row>
    <row r="4" spans="1:35">
      <c r="A4" s="67"/>
      <c r="H4" s="124"/>
      <c r="J4" s="433" t="str">
        <f>informatieblad!D13</f>
        <v>Verloopstukken  (RctR)</v>
      </c>
    </row>
    <row r="5" spans="1:35">
      <c r="A5" s="67"/>
      <c r="H5" s="124"/>
      <c r="J5" s="68"/>
    </row>
    <row r="6" spans="1:35">
      <c r="A6" s="67"/>
      <c r="H6" s="75"/>
      <c r="J6" s="68"/>
    </row>
    <row r="7" spans="1:35">
      <c r="A7" s="67"/>
      <c r="J7" s="68"/>
    </row>
    <row r="8" spans="1:35">
      <c r="A8" s="67"/>
      <c r="J8" s="68"/>
    </row>
    <row r="9" spans="1:35">
      <c r="A9" s="67"/>
      <c r="J9" s="68"/>
    </row>
    <row r="10" spans="1:35">
      <c r="A10" s="67"/>
      <c r="J10" s="68"/>
    </row>
    <row r="11" spans="1:35">
      <c r="A11" s="67"/>
      <c r="J11" s="68"/>
    </row>
    <row r="12" spans="1:35">
      <c r="A12" s="67"/>
      <c r="J12" s="68"/>
    </row>
    <row r="13" spans="1:35" ht="15" thickBot="1">
      <c r="A13" s="76"/>
      <c r="B13" s="72"/>
      <c r="C13" s="72"/>
      <c r="D13" s="72"/>
      <c r="E13" s="72"/>
      <c r="F13" s="72"/>
      <c r="G13" s="72"/>
      <c r="H13" s="72"/>
      <c r="I13" s="72"/>
      <c r="J13" s="77"/>
    </row>
    <row r="14" spans="1:35" ht="5.0999999999999996" customHeight="1" thickBot="1">
      <c r="A14" s="67"/>
      <c r="J14" s="68"/>
    </row>
    <row r="15" spans="1:35" ht="15" thickBot="1">
      <c r="A15" s="78" t="s">
        <v>14</v>
      </c>
      <c r="B15" s="79" t="s">
        <v>72</v>
      </c>
      <c r="C15" s="79" t="s">
        <v>73</v>
      </c>
      <c r="D15" s="79" t="s">
        <v>74</v>
      </c>
      <c r="E15" s="79" t="s">
        <v>75</v>
      </c>
      <c r="F15" s="79" t="s">
        <v>76</v>
      </c>
      <c r="G15" s="79" t="s">
        <v>77</v>
      </c>
      <c r="H15" s="79" t="s">
        <v>78</v>
      </c>
      <c r="I15" s="79" t="s">
        <v>79</v>
      </c>
      <c r="J15" s="125" t="s">
        <v>17</v>
      </c>
      <c r="K15" s="280" t="s">
        <v>18</v>
      </c>
    </row>
    <row r="16" spans="1:35" ht="15" thickBot="1">
      <c r="A16" s="464" t="s">
        <v>19</v>
      </c>
      <c r="B16" s="126">
        <v>1000</v>
      </c>
      <c r="C16" s="126">
        <v>500</v>
      </c>
      <c r="D16" s="126">
        <v>600</v>
      </c>
      <c r="E16" s="126">
        <v>350</v>
      </c>
      <c r="F16" s="126">
        <v>200</v>
      </c>
      <c r="G16" s="127">
        <v>200</v>
      </c>
      <c r="H16" s="128">
        <v>75</v>
      </c>
      <c r="I16" s="129">
        <v>75</v>
      </c>
      <c r="J16" s="130">
        <v>406</v>
      </c>
      <c r="K16" s="345" t="s">
        <v>20</v>
      </c>
      <c r="O16" s="131"/>
      <c r="P16" s="132"/>
      <c r="Q16" s="132"/>
      <c r="R16" s="131"/>
      <c r="S16" s="131"/>
      <c r="T16" s="131"/>
      <c r="U16" s="131"/>
      <c r="V16" s="131"/>
      <c r="W16" s="131"/>
      <c r="X16" s="131"/>
      <c r="Y16" s="133"/>
      <c r="Z16" s="133"/>
      <c r="AA16" s="133"/>
      <c r="AB16" s="133"/>
      <c r="AC16" s="133"/>
      <c r="AD16" s="133"/>
      <c r="AE16" s="133"/>
      <c r="AF16" s="131"/>
      <c r="AG16" s="131"/>
      <c r="AH16" s="131"/>
      <c r="AI16" s="131"/>
    </row>
    <row r="17" spans="1:56" ht="15">
      <c r="A17" s="465"/>
      <c r="B17" s="460" t="s">
        <v>21</v>
      </c>
      <c r="C17" s="460"/>
      <c r="D17" s="460" t="s">
        <v>80</v>
      </c>
      <c r="E17" s="460"/>
      <c r="F17" s="134" t="s">
        <v>81</v>
      </c>
      <c r="G17" s="88"/>
      <c r="H17" s="469" t="s">
        <v>82</v>
      </c>
      <c r="I17" s="518"/>
      <c r="J17" s="135">
        <v>406</v>
      </c>
      <c r="O17" s="83"/>
      <c r="P17" s="136"/>
      <c r="Q17" s="136"/>
      <c r="R17" s="136"/>
      <c r="S17" s="136"/>
      <c r="T17" s="136"/>
      <c r="U17" s="83"/>
      <c r="V17" s="83"/>
      <c r="W17" s="83"/>
      <c r="X17" s="83"/>
      <c r="Y17" s="136"/>
      <c r="Z17" s="136"/>
      <c r="AA17" s="75"/>
      <c r="AB17" s="75"/>
      <c r="AC17" s="75"/>
      <c r="AD17" s="75"/>
      <c r="AE17" s="75"/>
      <c r="AF17" s="136"/>
      <c r="AG17" s="136"/>
      <c r="AH17" s="83"/>
      <c r="AI17" s="83"/>
    </row>
    <row r="18" spans="1:56" ht="15.75" thickBot="1">
      <c r="A18" s="466"/>
      <c r="B18" s="137" t="s">
        <v>23</v>
      </c>
      <c r="C18" s="138">
        <v>1</v>
      </c>
      <c r="D18" s="139"/>
      <c r="E18" s="140">
        <v>1.2</v>
      </c>
      <c r="F18" s="141" t="s">
        <v>24</v>
      </c>
      <c r="G18" s="461" t="s">
        <v>25</v>
      </c>
      <c r="H18" s="462"/>
      <c r="I18" s="462"/>
      <c r="J18" s="463"/>
      <c r="O18" s="83"/>
      <c r="P18" s="142"/>
      <c r="Q18" s="142"/>
      <c r="R18" s="83"/>
      <c r="S18" s="83"/>
      <c r="T18" s="143"/>
      <c r="U18" s="143"/>
      <c r="V18" s="143"/>
      <c r="W18" s="143"/>
      <c r="X18" s="143"/>
      <c r="Y18" s="83"/>
      <c r="Z18" s="83"/>
      <c r="AA18" s="83"/>
      <c r="AB18" s="83"/>
      <c r="AC18" s="83"/>
      <c r="AD18" s="83"/>
      <c r="AE18" s="83"/>
      <c r="AF18" s="144"/>
      <c r="AG18" s="144"/>
      <c r="AH18" s="142"/>
      <c r="AI18" s="142"/>
    </row>
    <row r="19" spans="1:56" ht="5.0999999999999996" customHeight="1" thickBot="1">
      <c r="A19" s="145"/>
      <c r="B19" s="122"/>
      <c r="C19" s="122"/>
      <c r="D19" s="122"/>
      <c r="E19" s="122"/>
      <c r="F19" s="122"/>
      <c r="G19" s="122"/>
      <c r="H19" s="122"/>
      <c r="I19" s="122"/>
      <c r="J19" s="146"/>
    </row>
    <row r="20" spans="1:56" ht="15" customHeight="1" thickBot="1">
      <c r="A20" s="445"/>
      <c r="B20" s="147"/>
      <c r="C20" s="147"/>
      <c r="D20" s="147"/>
      <c r="E20" s="147"/>
      <c r="F20" s="147">
        <f>(B20-D20)/2</f>
        <v>0</v>
      </c>
      <c r="G20" s="148">
        <f>(B20-D20)-F20</f>
        <v>0</v>
      </c>
      <c r="H20" s="149">
        <f>(C20-E20)/2</f>
        <v>0</v>
      </c>
      <c r="I20" s="150">
        <f>(C20-E20)-H20</f>
        <v>0</v>
      </c>
      <c r="J20" s="151"/>
      <c r="K20" s="345" t="s">
        <v>20</v>
      </c>
      <c r="L20" s="152"/>
      <c r="O20" s="97" t="s">
        <v>14</v>
      </c>
      <c r="P20" s="98" t="s">
        <v>27</v>
      </c>
      <c r="Q20" s="98" t="s">
        <v>28</v>
      </c>
      <c r="R20" s="98" t="s">
        <v>27</v>
      </c>
      <c r="S20" s="98" t="s">
        <v>28</v>
      </c>
      <c r="T20" s="98" t="s">
        <v>29</v>
      </c>
      <c r="U20" s="66" t="s">
        <v>30</v>
      </c>
      <c r="V20" s="153" t="s">
        <v>31</v>
      </c>
      <c r="W20" s="153"/>
      <c r="X20" s="153"/>
      <c r="Y20" s="154" t="s">
        <v>83</v>
      </c>
      <c r="Z20" s="100" t="s">
        <v>83</v>
      </c>
      <c r="AA20" s="100" t="s">
        <v>83</v>
      </c>
      <c r="AB20" s="98" t="s">
        <v>84</v>
      </c>
      <c r="AC20" s="98" t="s">
        <v>85</v>
      </c>
      <c r="AD20" s="100" t="s">
        <v>86</v>
      </c>
      <c r="AE20" s="100" t="s">
        <v>34</v>
      </c>
      <c r="AF20" s="98" t="s">
        <v>32</v>
      </c>
      <c r="AG20" s="98" t="s">
        <v>32</v>
      </c>
      <c r="AH20" s="98" t="s">
        <v>35</v>
      </c>
      <c r="AI20" s="101" t="s">
        <v>36</v>
      </c>
      <c r="AK20" s="97" t="str">
        <f>informatieblad!$A$6</f>
        <v>FL20</v>
      </c>
      <c r="AL20" s="99"/>
      <c r="AM20" s="97" t="str">
        <f>informatieblad!$A$7</f>
        <v>FL30</v>
      </c>
      <c r="AN20" s="66"/>
      <c r="AO20" s="99" t="str">
        <f>informatieblad!$A$8</f>
        <v>FL40</v>
      </c>
      <c r="AP20" s="66"/>
      <c r="AQ20" s="97" t="str">
        <f>informatieblad!$A$5</f>
        <v>none</v>
      </c>
      <c r="AR20" s="264"/>
      <c r="AT20" s="266" t="s">
        <v>17</v>
      </c>
      <c r="AW20" s="266" t="s">
        <v>37</v>
      </c>
      <c r="AY20" s="269" t="s">
        <v>38</v>
      </c>
      <c r="AZ20" s="272"/>
      <c r="BA20" s="272">
        <f>informatieblad!$B$3</f>
        <v>0</v>
      </c>
      <c r="BB20" s="272">
        <f>informatieblad!$B$3</f>
        <v>0</v>
      </c>
      <c r="BC20" s="272">
        <f>informatieblad!$B$4</f>
        <v>0</v>
      </c>
      <c r="BD20" s="264">
        <f>informatieblad!$B$4</f>
        <v>0</v>
      </c>
    </row>
    <row r="21" spans="1:56" ht="15.75" customHeight="1">
      <c r="A21" s="467"/>
      <c r="B21" s="471" t="str">
        <f>IF($C22&gt;0,IF(MAX(B20:C20)&lt;informatieblad!$Q$4,informatieblad!$P$3,IF(MAX(B20:C20)&gt;informatieblad!$R$4,informatieblad!$P$5,informatieblad!$P$4)),"")</f>
        <v/>
      </c>
      <c r="C21" s="472"/>
      <c r="D21" s="471" t="str">
        <f>IF($C22&gt;0,IF(MAX(D20:E20)&lt;informatieblad!$Q$4,informatieblad!$P$3,IF(MAX(D20:E20)&gt;informatieblad!$R$4,informatieblad!$P$5,informatieblad!$P$4)),"")</f>
        <v/>
      </c>
      <c r="E21" s="472"/>
      <c r="F21" s="134" t="str">
        <f>A20&amp;"-"&amp;informatieblad!$B$13&amp;"-"&amp;B20&amp;"-"&amp;C20&amp;"-"&amp;D20&amp;"-"&amp;E20&amp;"-"&amp;F20&amp;"-"&amp;G20&amp;"-"&amp;H20&amp;"-"&amp;I20&amp;"-"&amp;J20&amp;"-"&amp;B21&amp;"-"&amp;G22</f>
        <v>-RctR-----0-0-0-0---Options None</v>
      </c>
      <c r="G21" s="88"/>
      <c r="H21" s="469" t="s">
        <v>82</v>
      </c>
      <c r="I21" s="470"/>
      <c r="J21" s="135" t="str">
        <f>(IF($C22&gt;0,(IF(240&gt;(MAX(C20-E20,E20-C20,B20-D20,D20-B20))/2*1.732,240,(MAX(C20-E20,E20-C20,B20-D20,D20-B20))/2*1.732)+30+30),""))</f>
        <v/>
      </c>
      <c r="O21" s="103">
        <f>A20</f>
        <v>0</v>
      </c>
      <c r="P21" s="104" t="s">
        <v>39</v>
      </c>
      <c r="Q21" s="104" t="s">
        <v>39</v>
      </c>
      <c r="R21" s="104" t="s">
        <v>40</v>
      </c>
      <c r="S21" s="104" t="s">
        <v>40</v>
      </c>
      <c r="T21" s="104" t="s">
        <v>40</v>
      </c>
      <c r="U21" s="105"/>
      <c r="V21" s="155" t="s">
        <v>27</v>
      </c>
      <c r="W21" s="155" t="s">
        <v>40</v>
      </c>
      <c r="X21" s="155" t="s">
        <v>41</v>
      </c>
      <c r="Y21" s="156" t="s">
        <v>87</v>
      </c>
      <c r="Z21" s="104" t="s">
        <v>88</v>
      </c>
      <c r="AA21" s="104"/>
      <c r="AC21" s="136" t="s">
        <v>87</v>
      </c>
      <c r="AD21" s="136" t="s">
        <v>88</v>
      </c>
      <c r="AE21" s="107"/>
      <c r="AF21" s="104" t="s">
        <v>40</v>
      </c>
      <c r="AG21" s="104" t="s">
        <v>41</v>
      </c>
      <c r="AH21" s="108"/>
      <c r="AI21" s="109"/>
      <c r="AK21" s="262" t="str">
        <f>informatieblad!$A$2</f>
        <v>FL20 loose</v>
      </c>
      <c r="AL21" s="263"/>
      <c r="AM21" s="262" t="str">
        <f>informatieblad!$A$3</f>
        <v>FL30 loose</v>
      </c>
      <c r="AN21" s="105"/>
      <c r="AO21" s="263" t="str">
        <f>informatieblad!$A$4</f>
        <v>FL40 loose</v>
      </c>
      <c r="AP21" s="105"/>
      <c r="AQ21" s="265"/>
      <c r="AR21" s="105"/>
      <c r="AT21" s="267"/>
      <c r="AV21" s="83" t="str">
        <f>'UC mounting materials '!$B$10</f>
        <v>Rail 30x15</v>
      </c>
      <c r="AW21" s="327">
        <f>IF(AA22&lt;1000,(AA22+100),0)*C22</f>
        <v>0</v>
      </c>
      <c r="AY21" s="265" t="s">
        <v>47</v>
      </c>
      <c r="AZ21" s="106" t="s">
        <v>48</v>
      </c>
      <c r="BA21" s="83" t="s">
        <v>23</v>
      </c>
      <c r="BB21" s="83" t="s">
        <v>23</v>
      </c>
      <c r="BC21" s="83" t="s">
        <v>23</v>
      </c>
      <c r="BD21" s="273" t="s">
        <v>23</v>
      </c>
    </row>
    <row r="22" spans="1:56" ht="15.75" customHeight="1" thickBot="1">
      <c r="A22" s="468"/>
      <c r="B22" s="137" t="s">
        <v>23</v>
      </c>
      <c r="C22" s="157"/>
      <c r="D22" s="139"/>
      <c r="E22" s="140">
        <f>C22*Q22</f>
        <v>0</v>
      </c>
      <c r="F22" s="141" t="s">
        <v>24</v>
      </c>
      <c r="G22" s="461" t="s">
        <v>25</v>
      </c>
      <c r="H22" s="473"/>
      <c r="I22" s="473"/>
      <c r="J22" s="474"/>
      <c r="O22" s="111"/>
      <c r="P22" s="112">
        <f>(((2*(Y22+Z22))*(J20))/1000000)</f>
        <v>0</v>
      </c>
      <c r="Q22" s="112">
        <f>((IF(P22&lt;=informatieblad!$I$13,informatieblad!$I$13,IF(P22&gt;=informatieblad!$I$13,P22))))</f>
        <v>0.5</v>
      </c>
      <c r="R22" s="158">
        <f>ROUND((((2*(Y22+Z22))*AB22)/1000000),2)</f>
        <v>0</v>
      </c>
      <c r="S22" s="112">
        <f>((IF(R22&lt;=informatieblad!$H$13,informatieblad!$H$13,IF(R22&gt;=informatieblad!$H$13,R22))))</f>
        <v>0</v>
      </c>
      <c r="T22" s="113">
        <f>((S22*AF22)+(S22*W22))*C22</f>
        <v>0</v>
      </c>
      <c r="U22" s="114">
        <f>((Q22*AG22)+(Q22*X22))*C22</f>
        <v>0</v>
      </c>
      <c r="V22" s="115" t="str">
        <f>G22</f>
        <v>Options None</v>
      </c>
      <c r="W22" s="115">
        <f>VLOOKUP(G22,informatieblad!$A$37:$D$41,2,FALSE)</f>
        <v>0</v>
      </c>
      <c r="X22" s="115">
        <f>VLOOKUP(G22,informatieblad!$A$37:$D$41,4,FALSE)</f>
        <v>0</v>
      </c>
      <c r="Y22" s="159">
        <f>(MAX(B20,D20))</f>
        <v>0</v>
      </c>
      <c r="Z22" s="160">
        <f>(MAX(C20,E20))</f>
        <v>0</v>
      </c>
      <c r="AA22" s="160">
        <f>(MAX(B20:E20))</f>
        <v>0</v>
      </c>
      <c r="AB22" s="161">
        <f>(MAX(AD22,AC22))</f>
        <v>0</v>
      </c>
      <c r="AC22" s="162">
        <f>ROUND((SQRT((((MAX(F20,G20))^2)+(J20^2)))),0)</f>
        <v>0</v>
      </c>
      <c r="AD22" s="163">
        <f>ROUND((SQRT((((MAX(H20,I20))^2)+(J20^2)))),0)</f>
        <v>0</v>
      </c>
      <c r="AE22" s="119">
        <f>LOOKUP(AA22,informatieblad!$C$27:$C$32,informatieblad!$A$27:$A$32)</f>
        <v>0.5</v>
      </c>
      <c r="AF22" s="118">
        <f>VLOOKUP(AE22,informatieblad!$A$27:$M$32,6,FALSE)</f>
        <v>0</v>
      </c>
      <c r="AG22" s="118">
        <f>VLOOKUP(AE22,informatieblad!$A$27:$M$32,8,FALSE)</f>
        <v>45.1248</v>
      </c>
      <c r="AH22" s="120">
        <f>VLOOKUP(AE22,informatieblad!$A$27:$M$32,13,FALSE)</f>
        <v>4</v>
      </c>
      <c r="AI22" s="121">
        <f>ROUND((AH22*S22),1)</f>
        <v>0</v>
      </c>
      <c r="AK22" s="111">
        <f>(IF(B21=AK20,((2*B20)+(2*C20)),IF(B21=AK21,((2*B20)+(2*C20)),0)))*C22</f>
        <v>0</v>
      </c>
      <c r="AL22" s="261">
        <f>(IF(D21=AK20,((2*D20)+(2*E20)),IF(D21=AK21,((2*D20)+(2*E20)),0)))*C22</f>
        <v>0</v>
      </c>
      <c r="AM22" s="111">
        <f>(IF(D21=AM20,((2*B20)+(2*C20)),IF(D21=AM21,((2*B20)+(2*C20)),0)))*C22</f>
        <v>0</v>
      </c>
      <c r="AN22" s="260">
        <f>(IF(D21=AM20,((2*D20)+(2*E20)),IF(D21=AM21,((2*D20)+(2*E20)),0)))*C22</f>
        <v>0</v>
      </c>
      <c r="AO22" s="261">
        <f>(IF(B21=AO20,((2*B20)+(2*C20)),IF(B21=AO21,((2*B20)+(2*C20)),0)))*C22</f>
        <v>0</v>
      </c>
      <c r="AP22" s="260">
        <f>(IF(D21=AO20,((2*D20)+(2*E20)),IF(D21=AO21,((2*D20)+(2*E20)),0)))*C22</f>
        <v>0</v>
      </c>
      <c r="AQ22" s="111">
        <f>(IF(B21=AQ20,((2*B20)+(2*C20)),0))*C22</f>
        <v>0</v>
      </c>
      <c r="AR22" s="260">
        <f>(IF(D21=AQ20,((2*D20)+(2*E20)),0))*C22</f>
        <v>0</v>
      </c>
      <c r="AT22" s="268">
        <f>J20*C22</f>
        <v>0</v>
      </c>
      <c r="AV22" s="83" t="str">
        <f>'UC mounting materials '!$B$11</f>
        <v>Rail 41x41</v>
      </c>
      <c r="AW22" s="268">
        <f>IF(AA22&gt;999,(AA22+100),0)*C22</f>
        <v>0</v>
      </c>
      <c r="AY22" s="111" t="str">
        <f>IF(B21=informatieblad!$A$6,informatieblad!$B$6,IF(B21=informatieblad!$A$7,informatieblad!$B$7,IF(B21=informatieblad!$A$8,informatieblad!$B$8,IF(B21=informatieblad!$A$2,informatieblad!$B$2,IF(B21=informatieblad!$A$3,informatieblad!$B$3,IF(B21=informatieblad!$A$4,informatieblad!$B$4,IF(B21=informatieblad!$A$5,informatieblad!$B$5,"")))))))</f>
        <v/>
      </c>
      <c r="AZ22" s="275" t="str">
        <f>IF(D21=informatieblad!$A$6,informatieblad!$B$6,IF(D21=informatieblad!$A$7,informatieblad!$B$7,IF(D21=informatieblad!$A$8,informatieblad!$B$8,IF(D21=informatieblad!$A$2,informatieblad!$B$2,IF(D21=informatieblad!$A$3,informatieblad!$B$3,IF(D21=informatieblad!$A$4,informatieblad!$B$4,IF(D21=informatieblad!$A$5,informatieblad!$B$5,"")))))))</f>
        <v/>
      </c>
      <c r="BA22" s="276">
        <f>IF(AY22=BA20,(4*C22),0)</f>
        <v>0</v>
      </c>
      <c r="BB22" s="276">
        <f>IF(AZ22=BA20,(4*C22),0)</f>
        <v>0</v>
      </c>
      <c r="BC22" s="276">
        <f>IF(AY22=BC20,(4*C22),0)</f>
        <v>0</v>
      </c>
      <c r="BD22" s="274">
        <f>IF(AZ22=BC20,(4*C22),0)</f>
        <v>0</v>
      </c>
    </row>
    <row r="23" spans="1:56" ht="5.0999999999999996" customHeight="1" thickBot="1">
      <c r="A23" s="145"/>
      <c r="B23" s="122"/>
      <c r="C23" s="122"/>
      <c r="D23" s="122"/>
      <c r="E23" s="122"/>
      <c r="F23" s="122"/>
      <c r="G23" s="122"/>
      <c r="H23" s="122"/>
      <c r="I23" s="122"/>
      <c r="J23" s="146"/>
    </row>
    <row r="24" spans="1:56" ht="13.5" customHeight="1" thickBot="1">
      <c r="A24" s="445"/>
      <c r="B24" s="147"/>
      <c r="C24" s="147"/>
      <c r="D24" s="147"/>
      <c r="E24" s="147"/>
      <c r="F24" s="147">
        <f>(B24-D24)/2</f>
        <v>0</v>
      </c>
      <c r="G24" s="148">
        <f>(B24-D24)-F24</f>
        <v>0</v>
      </c>
      <c r="H24" s="149">
        <f>(C24-E24)/2</f>
        <v>0</v>
      </c>
      <c r="I24" s="150">
        <f>(C24-E24)-H24</f>
        <v>0</v>
      </c>
      <c r="J24" s="151"/>
      <c r="K24" s="345" t="s">
        <v>20</v>
      </c>
      <c r="O24" s="97" t="s">
        <v>14</v>
      </c>
      <c r="P24" s="98" t="s">
        <v>27</v>
      </c>
      <c r="Q24" s="98" t="s">
        <v>28</v>
      </c>
      <c r="R24" s="98" t="s">
        <v>27</v>
      </c>
      <c r="S24" s="98" t="s">
        <v>28</v>
      </c>
      <c r="T24" s="98" t="s">
        <v>29</v>
      </c>
      <c r="U24" s="66" t="s">
        <v>30</v>
      </c>
      <c r="V24" s="153" t="s">
        <v>31</v>
      </c>
      <c r="W24" s="153"/>
      <c r="X24" s="153"/>
      <c r="Y24" s="154" t="s">
        <v>83</v>
      </c>
      <c r="Z24" s="100" t="s">
        <v>83</v>
      </c>
      <c r="AA24" s="100" t="s">
        <v>83</v>
      </c>
      <c r="AB24" s="98" t="s">
        <v>84</v>
      </c>
      <c r="AC24" s="98" t="s">
        <v>85</v>
      </c>
      <c r="AD24" s="100" t="s">
        <v>86</v>
      </c>
      <c r="AE24" s="100" t="s">
        <v>34</v>
      </c>
      <c r="AF24" s="98" t="s">
        <v>32</v>
      </c>
      <c r="AG24" s="98" t="s">
        <v>32</v>
      </c>
      <c r="AH24" s="98" t="s">
        <v>35</v>
      </c>
      <c r="AI24" s="101" t="s">
        <v>36</v>
      </c>
      <c r="AK24" s="97" t="str">
        <f>informatieblad!$A$6</f>
        <v>FL20</v>
      </c>
      <c r="AL24" s="99"/>
      <c r="AM24" s="97" t="str">
        <f>informatieblad!$A$7</f>
        <v>FL30</v>
      </c>
      <c r="AN24" s="66"/>
      <c r="AO24" s="99" t="str">
        <f>informatieblad!$A$8</f>
        <v>FL40</v>
      </c>
      <c r="AP24" s="66"/>
      <c r="AQ24" s="97" t="str">
        <f>informatieblad!$A$5</f>
        <v>none</v>
      </c>
      <c r="AR24" s="264"/>
      <c r="AT24" s="266" t="s">
        <v>17</v>
      </c>
      <c r="AW24" s="266" t="s">
        <v>37</v>
      </c>
      <c r="AY24" s="269" t="s">
        <v>38</v>
      </c>
      <c r="AZ24" s="272"/>
      <c r="BA24" s="272">
        <f>informatieblad!$B$3</f>
        <v>0</v>
      </c>
      <c r="BB24" s="272">
        <f>informatieblad!$B$3</f>
        <v>0</v>
      </c>
      <c r="BC24" s="272">
        <f>informatieblad!$B$4</f>
        <v>0</v>
      </c>
      <c r="BD24" s="264">
        <f>informatieblad!$B$4</f>
        <v>0</v>
      </c>
    </row>
    <row r="25" spans="1:56" ht="14.25" customHeight="1">
      <c r="A25" s="475"/>
      <c r="B25" s="471" t="str">
        <f>IF($C26&gt;0,IF(MAX(B24:C24)&lt;informatieblad!$Q$4,informatieblad!$P$3,IF(MAX(B24:C24)&gt;informatieblad!$R$4,informatieblad!$P$5,informatieblad!$P$4)),"")</f>
        <v/>
      </c>
      <c r="C25" s="472"/>
      <c r="D25" s="471" t="str">
        <f>IF($C26&gt;0,IF(MAX(D24:E24)&lt;informatieblad!$Q$4,informatieblad!$P$3,IF(MAX(D24:E24)&gt;informatieblad!$R$4,informatieblad!$P$5,informatieblad!$P$4)),"")</f>
        <v/>
      </c>
      <c r="E25" s="472"/>
      <c r="F25" s="134" t="str">
        <f>A24&amp;"-"&amp;informatieblad!$B$13&amp;"-"&amp;B24&amp;"-"&amp;C24&amp;"-"&amp;D24&amp;"-"&amp;E24&amp;"-"&amp;F24&amp;"-"&amp;G24&amp;"-"&amp;H24&amp;"-"&amp;I24&amp;"-"&amp;J24&amp;"-"&amp;B25&amp;"-"&amp;G26</f>
        <v>-RctR-----0-0-0-0---Options None</v>
      </c>
      <c r="G25" s="88"/>
      <c r="H25" s="469" t="s">
        <v>82</v>
      </c>
      <c r="I25" s="470"/>
      <c r="J25" s="135" t="str">
        <f>(IF($C26&gt;0,(IF(240&gt;(MAX(C24-E24,E24-C24,B24-D24,D24-B24))/2*1.732,240,(MAX(C24-E24,E24-C24,B24-D24,D24-B24))/2*1.732)+30+30),""))</f>
        <v/>
      </c>
      <c r="O25" s="103">
        <f>A24</f>
        <v>0</v>
      </c>
      <c r="P25" s="104" t="s">
        <v>39</v>
      </c>
      <c r="Q25" s="104" t="s">
        <v>39</v>
      </c>
      <c r="R25" s="104" t="s">
        <v>40</v>
      </c>
      <c r="S25" s="104" t="s">
        <v>40</v>
      </c>
      <c r="T25" s="104" t="s">
        <v>40</v>
      </c>
      <c r="U25" s="105"/>
      <c r="V25" s="155" t="s">
        <v>27</v>
      </c>
      <c r="W25" s="155" t="s">
        <v>40</v>
      </c>
      <c r="X25" s="155" t="s">
        <v>41</v>
      </c>
      <c r="Y25" s="156" t="s">
        <v>87</v>
      </c>
      <c r="Z25" s="104" t="s">
        <v>88</v>
      </c>
      <c r="AA25" s="104"/>
      <c r="AC25" s="136" t="s">
        <v>87</v>
      </c>
      <c r="AD25" s="136" t="s">
        <v>88</v>
      </c>
      <c r="AE25" s="107"/>
      <c r="AF25" s="104" t="s">
        <v>40</v>
      </c>
      <c r="AG25" s="104" t="s">
        <v>41</v>
      </c>
      <c r="AH25" s="108"/>
      <c r="AI25" s="109"/>
      <c r="AK25" s="262" t="str">
        <f>informatieblad!$A$2</f>
        <v>FL20 loose</v>
      </c>
      <c r="AL25" s="263"/>
      <c r="AM25" s="262" t="str">
        <f>informatieblad!$A$3</f>
        <v>FL30 loose</v>
      </c>
      <c r="AN25" s="105"/>
      <c r="AO25" s="263" t="str">
        <f>informatieblad!$A$4</f>
        <v>FL40 loose</v>
      </c>
      <c r="AP25" s="105"/>
      <c r="AQ25" s="265"/>
      <c r="AR25" s="105"/>
      <c r="AT25" s="267"/>
      <c r="AV25" s="83" t="str">
        <f>'UC mounting materials '!$B$10</f>
        <v>Rail 30x15</v>
      </c>
      <c r="AW25" s="327">
        <f>IF(AA26&lt;1000,(AA26+100),0)*C26</f>
        <v>0</v>
      </c>
      <c r="AY25" s="265" t="s">
        <v>47</v>
      </c>
      <c r="AZ25" s="106" t="s">
        <v>48</v>
      </c>
      <c r="BA25" s="83" t="s">
        <v>23</v>
      </c>
      <c r="BB25" s="83" t="s">
        <v>23</v>
      </c>
      <c r="BC25" s="83" t="s">
        <v>23</v>
      </c>
      <c r="BD25" s="273" t="s">
        <v>23</v>
      </c>
    </row>
    <row r="26" spans="1:56" ht="13.9" customHeight="1" thickBot="1">
      <c r="A26" s="476"/>
      <c r="B26" s="137" t="s">
        <v>23</v>
      </c>
      <c r="C26" s="157"/>
      <c r="D26" s="139"/>
      <c r="E26" s="140">
        <f>C26*Q26</f>
        <v>0</v>
      </c>
      <c r="F26" s="141" t="s">
        <v>24</v>
      </c>
      <c r="G26" s="461" t="s">
        <v>25</v>
      </c>
      <c r="H26" s="473"/>
      <c r="I26" s="473"/>
      <c r="J26" s="474"/>
      <c r="O26" s="111"/>
      <c r="P26" s="112">
        <f>(((2*(Y26+Z26))*(J24))/1000000)</f>
        <v>0</v>
      </c>
      <c r="Q26" s="112">
        <f>((IF(P26&lt;=informatieblad!$I$13,informatieblad!$I$13,IF(P26&gt;=informatieblad!$I$13,P26))))</f>
        <v>0.5</v>
      </c>
      <c r="R26" s="158">
        <f>ROUND((((2*(Y26+Z26))*AB26)/1000000),2)</f>
        <v>0</v>
      </c>
      <c r="S26" s="112">
        <f>((IF(R26&lt;=informatieblad!$H$13,informatieblad!$H$13,IF(R26&gt;=informatieblad!$H$13,R26))))</f>
        <v>0</v>
      </c>
      <c r="T26" s="113">
        <f>((S26*AF26)+(S26*W26))*C26</f>
        <v>0</v>
      </c>
      <c r="U26" s="114">
        <f>((Q26*AG26)+(Q26*X26))*C26</f>
        <v>0</v>
      </c>
      <c r="V26" s="115" t="str">
        <f>G26</f>
        <v>Options None</v>
      </c>
      <c r="W26" s="115">
        <f>VLOOKUP(G26,informatieblad!$A$37:$D$41,2,FALSE)</f>
        <v>0</v>
      </c>
      <c r="X26" s="115">
        <f>VLOOKUP(G26,informatieblad!$A$37:$D$41,4,FALSE)</f>
        <v>0</v>
      </c>
      <c r="Y26" s="159">
        <f>(MAX(B24,D24))</f>
        <v>0</v>
      </c>
      <c r="Z26" s="160">
        <f>(MAX(C24,E24))</f>
        <v>0</v>
      </c>
      <c r="AA26" s="160">
        <f>(MAX(B24:E24))</f>
        <v>0</v>
      </c>
      <c r="AB26" s="161">
        <f>(MAX(AD26,AC26))</f>
        <v>0</v>
      </c>
      <c r="AC26" s="162">
        <f>ROUND((SQRT((((MAX(F24,G24))^2)+(J24^2)))),0)</f>
        <v>0</v>
      </c>
      <c r="AD26" s="163">
        <f>ROUND((SQRT((((MAX(H24,I24))^2)+(J24^2)))),0)</f>
        <v>0</v>
      </c>
      <c r="AE26" s="119">
        <f>LOOKUP(AA26,informatieblad!$C$27:$C$32,informatieblad!$A$27:$A$32)</f>
        <v>0.5</v>
      </c>
      <c r="AF26" s="118">
        <f>VLOOKUP(AE26,informatieblad!$A$27:$M$32,6,FALSE)</f>
        <v>0</v>
      </c>
      <c r="AG26" s="118">
        <f>VLOOKUP(AE26,informatieblad!$A$27:$M$32,8,FALSE)</f>
        <v>45.1248</v>
      </c>
      <c r="AH26" s="120">
        <f>VLOOKUP(AE26,informatieblad!$A$27:$M$32,13,FALSE)</f>
        <v>4</v>
      </c>
      <c r="AI26" s="121">
        <f>ROUND((AH26*S26),1)</f>
        <v>0</v>
      </c>
      <c r="AK26" s="111">
        <f>(IF(B25=AK24,((2*B24)+(2*C24)),IF(B25=AK25,((2*B24)+(2*C24)),0)))*C26</f>
        <v>0</v>
      </c>
      <c r="AL26" s="261">
        <f>(IF(D25=AK24,((2*D24)+(2*E24)),IF(D25=AK25,((2*D24)+(2*E24)),0)))*C26</f>
        <v>0</v>
      </c>
      <c r="AM26" s="111">
        <f>(IF(D25=AM24,((2*B24)+(2*C24)),IF(D25=AM25,((2*B24)+(2*C24)),0)))*C26</f>
        <v>0</v>
      </c>
      <c r="AN26" s="260">
        <f>(IF(D25=AM24,((2*D24)+(2*E24)),IF(D25=AM25,((2*D24)+(2*E24)),0)))*C26</f>
        <v>0</v>
      </c>
      <c r="AO26" s="261">
        <f>(IF(B25=AO24,((2*B24)+(2*C24)),IF(B25=AO25,((2*B24)+(2*C24)),0)))*C26</f>
        <v>0</v>
      </c>
      <c r="AP26" s="260">
        <f>(IF(D25=AO24,((2*D24)+(2*E24)),IF(D25=AO25,((2*D24)+(2*E24)),0)))*C26</f>
        <v>0</v>
      </c>
      <c r="AQ26" s="111">
        <f>(IF(B25=AQ24,((2*B24)+(2*C24)),0))*C26</f>
        <v>0</v>
      </c>
      <c r="AR26" s="260">
        <f>(IF(D25=AQ24,((2*D24)+(2*E24)),0))*C26</f>
        <v>0</v>
      </c>
      <c r="AT26" s="268">
        <f>J24*C26</f>
        <v>0</v>
      </c>
      <c r="AV26" s="83" t="str">
        <f>'UC mounting materials '!$B$11</f>
        <v>Rail 41x41</v>
      </c>
      <c r="AW26" s="268">
        <f>IF(AA26&gt;999,(AA26+100),0)*C26</f>
        <v>0</v>
      </c>
      <c r="AY26" s="111" t="str">
        <f>IF(B25=informatieblad!$A$6,informatieblad!$B$6,IF(B25=informatieblad!$A$7,informatieblad!$B$7,IF(B25=informatieblad!$A$8,informatieblad!$B$8,IF(B25=informatieblad!$A$2,informatieblad!$B$2,IF(B25=informatieblad!$A$3,informatieblad!$B$3,IF(B25=informatieblad!$A$4,informatieblad!$B$4,IF(B25=informatieblad!$A$5,informatieblad!$B$5,"")))))))</f>
        <v/>
      </c>
      <c r="AZ26" s="275" t="str">
        <f>IF(D25=informatieblad!$A$6,informatieblad!$B$6,IF(D25=informatieblad!$A$7,informatieblad!$B$7,IF(D25=informatieblad!$A$8,informatieblad!$B$8,IF(D25=informatieblad!$A$2,informatieblad!$B$2,IF(D25=informatieblad!$A$3,informatieblad!$B$3,IF(D25=informatieblad!$A$4,informatieblad!$B$4,IF(D25=informatieblad!$A$5,informatieblad!$B$5,"")))))))</f>
        <v/>
      </c>
      <c r="BA26" s="276">
        <f>IF(AY26=BA24,(4*C26),0)</f>
        <v>0</v>
      </c>
      <c r="BB26" s="276">
        <f>IF(AZ26=BA24,(4*C26),0)</f>
        <v>0</v>
      </c>
      <c r="BC26" s="276">
        <f>IF(AY26=BC24,(4*C26),0)</f>
        <v>0</v>
      </c>
      <c r="BD26" s="274">
        <f>IF(AZ26=BC24,(4*C26),0)</f>
        <v>0</v>
      </c>
    </row>
    <row r="27" spans="1:56" ht="5.0999999999999996" customHeight="1" thickBot="1">
      <c r="A27" s="145"/>
      <c r="B27" s="122"/>
      <c r="C27" s="122"/>
      <c r="D27" s="122"/>
      <c r="E27" s="122"/>
      <c r="F27" s="122"/>
      <c r="G27" s="122"/>
      <c r="H27" s="122"/>
      <c r="I27" s="122"/>
      <c r="J27" s="146"/>
    </row>
    <row r="28" spans="1:56" ht="15" thickBot="1">
      <c r="A28" s="445"/>
      <c r="B28" s="147"/>
      <c r="C28" s="147"/>
      <c r="D28" s="147"/>
      <c r="E28" s="147"/>
      <c r="F28" s="147">
        <f>(B28-D28)/2</f>
        <v>0</v>
      </c>
      <c r="G28" s="148">
        <f>(B28-D28)-F28</f>
        <v>0</v>
      </c>
      <c r="H28" s="149">
        <f>(C28-E28)/2</f>
        <v>0</v>
      </c>
      <c r="I28" s="150">
        <f>(C28-E28)-H28</f>
        <v>0</v>
      </c>
      <c r="J28" s="151"/>
      <c r="K28" s="345" t="s">
        <v>20</v>
      </c>
      <c r="O28" s="97" t="s">
        <v>14</v>
      </c>
      <c r="P28" s="98" t="s">
        <v>27</v>
      </c>
      <c r="Q28" s="98" t="s">
        <v>28</v>
      </c>
      <c r="R28" s="98" t="s">
        <v>27</v>
      </c>
      <c r="S28" s="98" t="s">
        <v>28</v>
      </c>
      <c r="T28" s="98" t="s">
        <v>29</v>
      </c>
      <c r="U28" s="66" t="s">
        <v>30</v>
      </c>
      <c r="V28" s="153" t="s">
        <v>31</v>
      </c>
      <c r="W28" s="153"/>
      <c r="X28" s="153"/>
      <c r="Y28" s="154" t="s">
        <v>83</v>
      </c>
      <c r="Z28" s="100" t="s">
        <v>83</v>
      </c>
      <c r="AA28" s="100" t="s">
        <v>83</v>
      </c>
      <c r="AB28" s="98" t="s">
        <v>84</v>
      </c>
      <c r="AC28" s="98" t="s">
        <v>85</v>
      </c>
      <c r="AD28" s="100" t="s">
        <v>86</v>
      </c>
      <c r="AE28" s="100" t="s">
        <v>34</v>
      </c>
      <c r="AF28" s="98" t="s">
        <v>32</v>
      </c>
      <c r="AG28" s="98" t="s">
        <v>32</v>
      </c>
      <c r="AH28" s="98" t="s">
        <v>35</v>
      </c>
      <c r="AI28" s="101" t="s">
        <v>36</v>
      </c>
      <c r="AK28" s="97" t="str">
        <f>informatieblad!$A$6</f>
        <v>FL20</v>
      </c>
      <c r="AL28" s="99"/>
      <c r="AM28" s="97" t="str">
        <f>informatieblad!$A$7</f>
        <v>FL30</v>
      </c>
      <c r="AN28" s="66"/>
      <c r="AO28" s="99" t="str">
        <f>informatieblad!$A$8</f>
        <v>FL40</v>
      </c>
      <c r="AP28" s="66"/>
      <c r="AQ28" s="97" t="str">
        <f>informatieblad!$A$5</f>
        <v>none</v>
      </c>
      <c r="AR28" s="264"/>
      <c r="AT28" s="266" t="s">
        <v>17</v>
      </c>
      <c r="AW28" s="266" t="s">
        <v>37</v>
      </c>
      <c r="AY28" s="269" t="s">
        <v>38</v>
      </c>
      <c r="AZ28" s="272"/>
      <c r="BA28" s="272">
        <f>informatieblad!$B$3</f>
        <v>0</v>
      </c>
      <c r="BB28" s="272">
        <f>informatieblad!$B$3</f>
        <v>0</v>
      </c>
      <c r="BC28" s="272">
        <f>informatieblad!$B$4</f>
        <v>0</v>
      </c>
      <c r="BD28" s="264">
        <f>informatieblad!$B$4</f>
        <v>0</v>
      </c>
    </row>
    <row r="29" spans="1:56">
      <c r="A29" s="446"/>
      <c r="B29" s="471" t="str">
        <f>IF($C30&gt;0,IF(MAX(B28:C28)&lt;informatieblad!$Q$4,informatieblad!$P$3,IF(MAX(B28:C28)&gt;informatieblad!$R$4,informatieblad!$P$5,informatieblad!$P$4)),"")</f>
        <v/>
      </c>
      <c r="C29" s="472"/>
      <c r="D29" s="471" t="str">
        <f>IF($C30&gt;0,IF(MAX(D28:E28)&lt;informatieblad!$Q$4,informatieblad!$P$3,IF(MAX(D28:E28)&gt;informatieblad!$R$4,informatieblad!$P$5,informatieblad!$P$4)),"")</f>
        <v/>
      </c>
      <c r="E29" s="472"/>
      <c r="F29" s="134" t="str">
        <f>A28&amp;"-"&amp;informatieblad!$B$13&amp;"-"&amp;B28&amp;"-"&amp;C28&amp;"-"&amp;D28&amp;"-"&amp;E28&amp;"-"&amp;F28&amp;"-"&amp;G28&amp;"-"&amp;H28&amp;"-"&amp;I28&amp;"-"&amp;J28&amp;"-"&amp;B29&amp;"-"&amp;G30</f>
        <v>-RctR-----0-0-0-0---Options None</v>
      </c>
      <c r="G29" s="88"/>
      <c r="H29" s="469" t="s">
        <v>82</v>
      </c>
      <c r="I29" s="470"/>
      <c r="J29" s="135" t="str">
        <f>(IF($C30&gt;0,(IF(240&gt;(MAX(C28-E28,E28-C28,B28-D28,D28-B28))/2*1.732,240,(MAX(C28-E28,E28-C28,B28-D28,D28-B28))/2*1.732)+30+30),""))</f>
        <v/>
      </c>
      <c r="O29" s="103">
        <f>A28</f>
        <v>0</v>
      </c>
      <c r="P29" s="104" t="s">
        <v>39</v>
      </c>
      <c r="Q29" s="104" t="s">
        <v>39</v>
      </c>
      <c r="R29" s="104" t="s">
        <v>40</v>
      </c>
      <c r="S29" s="104" t="s">
        <v>40</v>
      </c>
      <c r="T29" s="104" t="s">
        <v>40</v>
      </c>
      <c r="U29" s="105"/>
      <c r="V29" s="155" t="s">
        <v>27</v>
      </c>
      <c r="W29" s="155" t="s">
        <v>40</v>
      </c>
      <c r="X29" s="155" t="s">
        <v>41</v>
      </c>
      <c r="Y29" s="156" t="s">
        <v>87</v>
      </c>
      <c r="Z29" s="104" t="s">
        <v>88</v>
      </c>
      <c r="AA29" s="104"/>
      <c r="AC29" s="136" t="s">
        <v>87</v>
      </c>
      <c r="AD29" s="136" t="s">
        <v>88</v>
      </c>
      <c r="AE29" s="107"/>
      <c r="AF29" s="104" t="s">
        <v>40</v>
      </c>
      <c r="AG29" s="104" t="s">
        <v>41</v>
      </c>
      <c r="AH29" s="108"/>
      <c r="AI29" s="109"/>
      <c r="AK29" s="262" t="str">
        <f>informatieblad!$A$2</f>
        <v>FL20 loose</v>
      </c>
      <c r="AL29" s="263"/>
      <c r="AM29" s="262" t="str">
        <f>informatieblad!$A$3</f>
        <v>FL30 loose</v>
      </c>
      <c r="AN29" s="105"/>
      <c r="AO29" s="263" t="str">
        <f>informatieblad!$A$4</f>
        <v>FL40 loose</v>
      </c>
      <c r="AP29" s="105"/>
      <c r="AQ29" s="265"/>
      <c r="AR29" s="105"/>
      <c r="AT29" s="267"/>
      <c r="AV29" s="83" t="str">
        <f>'UC mounting materials '!$B$10</f>
        <v>Rail 30x15</v>
      </c>
      <c r="AW29" s="327">
        <f>IF(AA30&lt;1000,(AA30+100),0)*C30</f>
        <v>0</v>
      </c>
      <c r="AY29" s="265" t="s">
        <v>47</v>
      </c>
      <c r="AZ29" s="106" t="s">
        <v>48</v>
      </c>
      <c r="BA29" s="83" t="s">
        <v>23</v>
      </c>
      <c r="BB29" s="83" t="s">
        <v>23</v>
      </c>
      <c r="BC29" s="83" t="s">
        <v>23</v>
      </c>
      <c r="BD29" s="273" t="s">
        <v>23</v>
      </c>
    </row>
    <row r="30" spans="1:56" ht="15" thickBot="1">
      <c r="A30" s="476"/>
      <c r="B30" s="137" t="s">
        <v>23</v>
      </c>
      <c r="C30" s="157"/>
      <c r="D30" s="139"/>
      <c r="E30" s="140">
        <f>C30*Q30</f>
        <v>0</v>
      </c>
      <c r="F30" s="141" t="s">
        <v>24</v>
      </c>
      <c r="G30" s="461" t="s">
        <v>25</v>
      </c>
      <c r="H30" s="473"/>
      <c r="I30" s="473"/>
      <c r="J30" s="474"/>
      <c r="O30" s="111"/>
      <c r="P30" s="112">
        <f>(((2*(Y30+Z30))*(J28))/1000000)</f>
        <v>0</v>
      </c>
      <c r="Q30" s="112">
        <f>((IF(P30&lt;=informatieblad!$I$13,informatieblad!$I$13,IF(P30&gt;=informatieblad!$I$13,P30))))</f>
        <v>0.5</v>
      </c>
      <c r="R30" s="158">
        <f>ROUND((((2*(Y30+Z30))*AB30)/1000000),2)</f>
        <v>0</v>
      </c>
      <c r="S30" s="112">
        <f>((IF(R30&lt;=informatieblad!$H$13,informatieblad!$H$13,IF(R30&gt;=informatieblad!$H$13,R30))))</f>
        <v>0</v>
      </c>
      <c r="T30" s="113">
        <f>((S30*AF30)+(S30*W30))*C30</f>
        <v>0</v>
      </c>
      <c r="U30" s="114">
        <f>((Q30*AG30)+(Q30*X30))*C30</f>
        <v>0</v>
      </c>
      <c r="V30" s="115" t="str">
        <f>G30</f>
        <v>Options None</v>
      </c>
      <c r="W30" s="115">
        <f>VLOOKUP(G30,informatieblad!$A$37:$D$41,2,FALSE)</f>
        <v>0</v>
      </c>
      <c r="X30" s="115">
        <f>VLOOKUP(G30,informatieblad!$A$37:$D$41,4,FALSE)</f>
        <v>0</v>
      </c>
      <c r="Y30" s="159">
        <f>(MAX(B28,D28))</f>
        <v>0</v>
      </c>
      <c r="Z30" s="160">
        <f>(MAX(C28,E28))</f>
        <v>0</v>
      </c>
      <c r="AA30" s="160">
        <f>(MAX(B28:E28))</f>
        <v>0</v>
      </c>
      <c r="AB30" s="161">
        <f>(MAX(AD30,AC30))</f>
        <v>0</v>
      </c>
      <c r="AC30" s="162">
        <f>ROUND((SQRT((((MAX(F28,G28))^2)+(J28^2)))),0)</f>
        <v>0</v>
      </c>
      <c r="AD30" s="163">
        <f>ROUND((SQRT((((MAX(H28,I28))^2)+(J28^2)))),0)</f>
        <v>0</v>
      </c>
      <c r="AE30" s="119">
        <f>LOOKUP(AA30,informatieblad!$C$27:$C$32,informatieblad!$A$27:$A$32)</f>
        <v>0.5</v>
      </c>
      <c r="AF30" s="118">
        <f>VLOOKUP(AE30,informatieblad!$A$27:$M$32,6,FALSE)</f>
        <v>0</v>
      </c>
      <c r="AG30" s="118">
        <f>VLOOKUP(AE30,informatieblad!$A$27:$M$32,8,FALSE)</f>
        <v>45.1248</v>
      </c>
      <c r="AH30" s="120">
        <f>VLOOKUP(AE30,informatieblad!$A$27:$M$32,13,FALSE)</f>
        <v>4</v>
      </c>
      <c r="AI30" s="121">
        <f>ROUND((AH30*S30),1)</f>
        <v>0</v>
      </c>
      <c r="AK30" s="111">
        <f>(IF(B29=AK28,((2*B28)+(2*C28)),IF(B29=AK29,((2*B28)+(2*C28)),0)))*C30</f>
        <v>0</v>
      </c>
      <c r="AL30" s="261">
        <f>(IF(D29=AK28,((2*D28)+(2*E28)),IF(D29=AK29,((2*D28)+(2*E28)),0)))*C30</f>
        <v>0</v>
      </c>
      <c r="AM30" s="111">
        <f>(IF(D29=AM28,((2*B28)+(2*C28)),IF(D29=AM29,((2*B28)+(2*C28)),0)))*C30</f>
        <v>0</v>
      </c>
      <c r="AN30" s="260">
        <f>(IF(D29=AM28,((2*D28)+(2*E28)),IF(D29=AM29,((2*D28)+(2*E28)),0)))*C30</f>
        <v>0</v>
      </c>
      <c r="AO30" s="261">
        <f>(IF(B29=AO28,((2*B28)+(2*C28)),IF(B29=AO29,((2*B28)+(2*C28)),0)))*C30</f>
        <v>0</v>
      </c>
      <c r="AP30" s="260">
        <f>(IF(D29=AO28,((2*D28)+(2*E28)),IF(D29=AO29,((2*D28)+(2*E28)),0)))*C30</f>
        <v>0</v>
      </c>
      <c r="AQ30" s="111">
        <f>(IF(B29=AQ28,((2*B28)+(2*C28)),0))*C30</f>
        <v>0</v>
      </c>
      <c r="AR30" s="260">
        <f>(IF(D29=AQ28,((2*D28)+(2*E28)),0))*C30</f>
        <v>0</v>
      </c>
      <c r="AT30" s="268">
        <f>J28*C30</f>
        <v>0</v>
      </c>
      <c r="AV30" s="83" t="str">
        <f>'UC mounting materials '!$B$11</f>
        <v>Rail 41x41</v>
      </c>
      <c r="AW30" s="268">
        <f>IF(AA30&gt;999,(AA30+100),0)*C30</f>
        <v>0</v>
      </c>
      <c r="AY30" s="111" t="str">
        <f>IF(B29=informatieblad!$A$6,informatieblad!$B$6,IF(B29=informatieblad!$A$7,informatieblad!$B$7,IF(B29=informatieblad!$A$8,informatieblad!$B$8,IF(B29=informatieblad!$A$2,informatieblad!$B$2,IF(B29=informatieblad!$A$3,informatieblad!$B$3,IF(B29=informatieblad!$A$4,informatieblad!$B$4,IF(B29=informatieblad!$A$5,informatieblad!$B$5,"")))))))</f>
        <v/>
      </c>
      <c r="AZ30" s="275" t="str">
        <f>IF(D29=informatieblad!$A$6,informatieblad!$B$6,IF(D29=informatieblad!$A$7,informatieblad!$B$7,IF(D29=informatieblad!$A$8,informatieblad!$B$8,IF(D29=informatieblad!$A$2,informatieblad!$B$2,IF(D29=informatieblad!$A$3,informatieblad!$B$3,IF(D29=informatieblad!$A$4,informatieblad!$B$4,IF(D29=informatieblad!$A$5,informatieblad!$B$5,"")))))))</f>
        <v/>
      </c>
      <c r="BA30" s="276">
        <f>IF(AY30=BA28,(4*C30),0)</f>
        <v>0</v>
      </c>
      <c r="BB30" s="276">
        <f>IF(AZ30=BA28,(4*C30),0)</f>
        <v>0</v>
      </c>
      <c r="BC30" s="276">
        <f>IF(AY30=BC28,(4*C30),0)</f>
        <v>0</v>
      </c>
      <c r="BD30" s="274">
        <f>IF(AZ30=BC28,(4*C30),0)</f>
        <v>0</v>
      </c>
    </row>
    <row r="31" spans="1:56" ht="5.0999999999999996" customHeight="1" thickBot="1">
      <c r="A31" s="145"/>
      <c r="B31" s="122"/>
      <c r="C31" s="122"/>
      <c r="D31" s="122"/>
      <c r="E31" s="122"/>
      <c r="F31" s="122"/>
      <c r="G31" s="122"/>
      <c r="H31" s="122"/>
      <c r="I31" s="122"/>
      <c r="J31" s="146"/>
    </row>
    <row r="32" spans="1:56" ht="15" thickBot="1">
      <c r="A32" s="445"/>
      <c r="B32" s="147"/>
      <c r="C32" s="147"/>
      <c r="D32" s="147"/>
      <c r="E32" s="147"/>
      <c r="F32" s="147">
        <f>(B32-D32)/2</f>
        <v>0</v>
      </c>
      <c r="G32" s="148">
        <f>(B32-D32)-F32</f>
        <v>0</v>
      </c>
      <c r="H32" s="149">
        <f>(C32-E32)/2</f>
        <v>0</v>
      </c>
      <c r="I32" s="150">
        <f>(C32-E32)-H32</f>
        <v>0</v>
      </c>
      <c r="J32" s="151"/>
      <c r="K32" s="345" t="s">
        <v>20</v>
      </c>
      <c r="O32" s="97" t="s">
        <v>14</v>
      </c>
      <c r="P32" s="98" t="s">
        <v>27</v>
      </c>
      <c r="Q32" s="98" t="s">
        <v>28</v>
      </c>
      <c r="R32" s="98" t="s">
        <v>27</v>
      </c>
      <c r="S32" s="98" t="s">
        <v>28</v>
      </c>
      <c r="T32" s="98" t="s">
        <v>29</v>
      </c>
      <c r="U32" s="66" t="s">
        <v>30</v>
      </c>
      <c r="V32" s="153" t="s">
        <v>31</v>
      </c>
      <c r="W32" s="153"/>
      <c r="X32" s="153"/>
      <c r="Y32" s="154" t="s">
        <v>83</v>
      </c>
      <c r="Z32" s="100" t="s">
        <v>83</v>
      </c>
      <c r="AA32" s="100" t="s">
        <v>83</v>
      </c>
      <c r="AB32" s="98" t="s">
        <v>84</v>
      </c>
      <c r="AC32" s="98" t="s">
        <v>85</v>
      </c>
      <c r="AD32" s="100" t="s">
        <v>86</v>
      </c>
      <c r="AE32" s="100" t="s">
        <v>34</v>
      </c>
      <c r="AF32" s="98" t="s">
        <v>32</v>
      </c>
      <c r="AG32" s="98" t="s">
        <v>32</v>
      </c>
      <c r="AH32" s="98" t="s">
        <v>35</v>
      </c>
      <c r="AI32" s="101" t="s">
        <v>36</v>
      </c>
      <c r="AK32" s="97" t="str">
        <f>informatieblad!$A$6</f>
        <v>FL20</v>
      </c>
      <c r="AL32" s="99"/>
      <c r="AM32" s="97" t="str">
        <f>informatieblad!$A$7</f>
        <v>FL30</v>
      </c>
      <c r="AN32" s="66"/>
      <c r="AO32" s="99" t="str">
        <f>informatieblad!$A$8</f>
        <v>FL40</v>
      </c>
      <c r="AP32" s="66"/>
      <c r="AQ32" s="97" t="str">
        <f>informatieblad!$A$5</f>
        <v>none</v>
      </c>
      <c r="AR32" s="264"/>
      <c r="AT32" s="266" t="s">
        <v>17</v>
      </c>
      <c r="AW32" s="266" t="s">
        <v>37</v>
      </c>
      <c r="AY32" s="269" t="s">
        <v>38</v>
      </c>
      <c r="AZ32" s="272"/>
      <c r="BA32" s="272">
        <f>informatieblad!$B$3</f>
        <v>0</v>
      </c>
      <c r="BB32" s="272">
        <f>informatieblad!$B$3</f>
        <v>0</v>
      </c>
      <c r="BC32" s="272">
        <f>informatieblad!$B$4</f>
        <v>0</v>
      </c>
      <c r="BD32" s="264">
        <f>informatieblad!$B$4</f>
        <v>0</v>
      </c>
    </row>
    <row r="33" spans="1:56">
      <c r="A33" s="446"/>
      <c r="B33" s="471" t="str">
        <f>IF($C34&gt;0,IF(MAX(B32:C32)&lt;informatieblad!$Q$4,informatieblad!$P$3,IF(MAX(B32:C32)&gt;informatieblad!$R$4,informatieblad!$P$5,informatieblad!$P$4)),"")</f>
        <v/>
      </c>
      <c r="C33" s="472"/>
      <c r="D33" s="471" t="str">
        <f>IF($C34&gt;0,IF(MAX(D32:E32)&lt;informatieblad!$Q$4,informatieblad!$P$3,IF(MAX(D32:E32)&gt;informatieblad!$R$4,informatieblad!$P$5,informatieblad!$P$4)),"")</f>
        <v/>
      </c>
      <c r="E33" s="472"/>
      <c r="F33" s="134" t="str">
        <f>A32&amp;"-"&amp;informatieblad!$B$13&amp;"-"&amp;B32&amp;"-"&amp;C32&amp;"-"&amp;D32&amp;"-"&amp;E32&amp;"-"&amp;F32&amp;"-"&amp;G32&amp;"-"&amp;H32&amp;"-"&amp;I32&amp;"-"&amp;J32&amp;"-"&amp;B33&amp;"-"&amp;G34</f>
        <v>-RctR-----0-0-0-0---Options None</v>
      </c>
      <c r="G33" s="88"/>
      <c r="H33" s="469" t="s">
        <v>82</v>
      </c>
      <c r="I33" s="470"/>
      <c r="J33" s="135" t="str">
        <f>(IF($C34&gt;0,(IF(240&gt;(MAX(C32-E32,E32-C32,B32-D32,D32-B32))/2*1.732,240,(MAX(C32-E32,E32-C32,B32-D32,D32-B32))/2*1.732)+30+30),""))</f>
        <v/>
      </c>
      <c r="O33" s="103">
        <f>A32</f>
        <v>0</v>
      </c>
      <c r="P33" s="104" t="s">
        <v>39</v>
      </c>
      <c r="Q33" s="104" t="s">
        <v>39</v>
      </c>
      <c r="R33" s="104" t="s">
        <v>40</v>
      </c>
      <c r="S33" s="104" t="s">
        <v>40</v>
      </c>
      <c r="T33" s="104" t="s">
        <v>40</v>
      </c>
      <c r="U33" s="105"/>
      <c r="V33" s="155" t="s">
        <v>27</v>
      </c>
      <c r="W33" s="155" t="s">
        <v>40</v>
      </c>
      <c r="X33" s="155" t="s">
        <v>41</v>
      </c>
      <c r="Y33" s="156" t="s">
        <v>87</v>
      </c>
      <c r="Z33" s="104" t="s">
        <v>88</v>
      </c>
      <c r="AA33" s="104"/>
      <c r="AC33" s="136" t="s">
        <v>87</v>
      </c>
      <c r="AD33" s="136" t="s">
        <v>88</v>
      </c>
      <c r="AE33" s="107"/>
      <c r="AF33" s="104" t="s">
        <v>40</v>
      </c>
      <c r="AG33" s="104" t="s">
        <v>41</v>
      </c>
      <c r="AH33" s="108"/>
      <c r="AI33" s="109"/>
      <c r="AK33" s="262" t="str">
        <f>informatieblad!$A$2</f>
        <v>FL20 loose</v>
      </c>
      <c r="AL33" s="263"/>
      <c r="AM33" s="262" t="str">
        <f>informatieblad!$A$3</f>
        <v>FL30 loose</v>
      </c>
      <c r="AN33" s="105"/>
      <c r="AO33" s="263" t="str">
        <f>informatieblad!$A$4</f>
        <v>FL40 loose</v>
      </c>
      <c r="AP33" s="105"/>
      <c r="AQ33" s="265"/>
      <c r="AR33" s="105"/>
      <c r="AT33" s="267"/>
      <c r="AV33" s="83" t="str">
        <f>'UC mounting materials '!$B$10</f>
        <v>Rail 30x15</v>
      </c>
      <c r="AW33" s="327">
        <f>IF(AA34&lt;1000,(AA34+100),0)*C34</f>
        <v>0</v>
      </c>
      <c r="AY33" s="265" t="s">
        <v>47</v>
      </c>
      <c r="AZ33" s="106" t="s">
        <v>48</v>
      </c>
      <c r="BA33" s="83" t="s">
        <v>23</v>
      </c>
      <c r="BB33" s="83" t="s">
        <v>23</v>
      </c>
      <c r="BC33" s="83" t="s">
        <v>23</v>
      </c>
      <c r="BD33" s="273" t="s">
        <v>23</v>
      </c>
    </row>
    <row r="34" spans="1:56" ht="15" thickBot="1">
      <c r="A34" s="476"/>
      <c r="B34" s="137" t="s">
        <v>23</v>
      </c>
      <c r="C34" s="157"/>
      <c r="D34" s="139"/>
      <c r="E34" s="140">
        <f>C34*Q34</f>
        <v>0</v>
      </c>
      <c r="F34" s="141" t="s">
        <v>24</v>
      </c>
      <c r="G34" s="461" t="s">
        <v>25</v>
      </c>
      <c r="H34" s="473"/>
      <c r="I34" s="473"/>
      <c r="J34" s="474"/>
      <c r="O34" s="111"/>
      <c r="P34" s="112">
        <f>(((2*(Y34+Z34))*(J32))/1000000)</f>
        <v>0</v>
      </c>
      <c r="Q34" s="112">
        <f>((IF(P34&lt;=informatieblad!$I$13,informatieblad!$I$13,IF(P34&gt;=informatieblad!$I$13,P34))))</f>
        <v>0.5</v>
      </c>
      <c r="R34" s="158">
        <f>ROUND((((2*(Y34+Z34))*AB34)/1000000),2)</f>
        <v>0</v>
      </c>
      <c r="S34" s="112">
        <f>((IF(R34&lt;=informatieblad!$H$13,informatieblad!$H$13,IF(R34&gt;=informatieblad!$H$13,R34))))</f>
        <v>0</v>
      </c>
      <c r="T34" s="113">
        <f>((S34*AF34)+(S34*W34))*C34</f>
        <v>0</v>
      </c>
      <c r="U34" s="114">
        <f>((Q34*AG34)+(Q34*X34))*C34</f>
        <v>0</v>
      </c>
      <c r="V34" s="115" t="str">
        <f>G34</f>
        <v>Options None</v>
      </c>
      <c r="W34" s="115">
        <f>VLOOKUP(G34,informatieblad!$A$37:$D$41,2,FALSE)</f>
        <v>0</v>
      </c>
      <c r="X34" s="115">
        <f>VLOOKUP(G34,informatieblad!$A$37:$D$41,4,FALSE)</f>
        <v>0</v>
      </c>
      <c r="Y34" s="159">
        <f>(MAX(B32,D32))</f>
        <v>0</v>
      </c>
      <c r="Z34" s="160">
        <f>(MAX(C32,E32))</f>
        <v>0</v>
      </c>
      <c r="AA34" s="160">
        <f>(MAX(B32:E32))</f>
        <v>0</v>
      </c>
      <c r="AB34" s="161">
        <f>(MAX(AD34,AC34))</f>
        <v>0</v>
      </c>
      <c r="AC34" s="162">
        <f>ROUND((SQRT((((MAX(F32,G32))^2)+(J32^2)))),0)</f>
        <v>0</v>
      </c>
      <c r="AD34" s="163">
        <f>ROUND((SQRT((((MAX(H32,I32))^2)+(J32^2)))),0)</f>
        <v>0</v>
      </c>
      <c r="AE34" s="119">
        <f>LOOKUP(AA34,informatieblad!$C$27:$C$32,informatieblad!$A$27:$A$32)</f>
        <v>0.5</v>
      </c>
      <c r="AF34" s="118">
        <f>VLOOKUP(AE34,informatieblad!$A$27:$M$32,6,FALSE)</f>
        <v>0</v>
      </c>
      <c r="AG34" s="118">
        <f>VLOOKUP(AE34,informatieblad!$A$27:$M$32,8,FALSE)</f>
        <v>45.1248</v>
      </c>
      <c r="AH34" s="120">
        <f>VLOOKUP(AE34,informatieblad!$A$27:$M$32,13,FALSE)</f>
        <v>4</v>
      </c>
      <c r="AI34" s="121">
        <f>ROUND((AH34*S34),1)</f>
        <v>0</v>
      </c>
      <c r="AK34" s="111">
        <f>(IF(B33=AK32,((2*B32)+(2*C32)),IF(B33=AK33,((2*B32)+(2*C32)),0)))*C34</f>
        <v>0</v>
      </c>
      <c r="AL34" s="261">
        <f>(IF(D33=AK32,((2*D32)+(2*E32)),IF(D33=AK33,((2*D32)+(2*E32)),0)))*C34</f>
        <v>0</v>
      </c>
      <c r="AM34" s="111">
        <f>(IF(D33=AM32,((2*B32)+(2*C32)),IF(D33=AM33,((2*B32)+(2*C32)),0)))*C34</f>
        <v>0</v>
      </c>
      <c r="AN34" s="260">
        <f>(IF(D33=AM32,((2*D32)+(2*E32)),IF(D33=AM33,((2*D32)+(2*E32)),0)))*C34</f>
        <v>0</v>
      </c>
      <c r="AO34" s="261">
        <f>(IF(B33=AO32,((2*B32)+(2*C32)),IF(B33=AO33,((2*B32)+(2*C32)),0)))*C34</f>
        <v>0</v>
      </c>
      <c r="AP34" s="260">
        <f>(IF(D33=AO32,((2*D32)+(2*E32)),IF(D33=AO33,((2*D32)+(2*E32)),0)))*C34</f>
        <v>0</v>
      </c>
      <c r="AQ34" s="111">
        <f>(IF(B33=AQ32,((2*B32)+(2*C32)),0))*C34</f>
        <v>0</v>
      </c>
      <c r="AR34" s="260">
        <f>(IF(D33=AQ32,((2*D32)+(2*E32)),0))*C34</f>
        <v>0</v>
      </c>
      <c r="AT34" s="268">
        <f>J32*C34</f>
        <v>0</v>
      </c>
      <c r="AV34" s="83" t="str">
        <f>'UC mounting materials '!$B$11</f>
        <v>Rail 41x41</v>
      </c>
      <c r="AW34" s="268">
        <f>IF(AA34&gt;999,(AA34+100),0)*C34</f>
        <v>0</v>
      </c>
      <c r="AY34" s="111" t="str">
        <f>IF(B33=informatieblad!$A$6,informatieblad!$B$6,IF(B33=informatieblad!$A$7,informatieblad!$B$7,IF(B33=informatieblad!$A$8,informatieblad!$B$8,IF(B33=informatieblad!$A$2,informatieblad!$B$2,IF(B33=informatieblad!$A$3,informatieblad!$B$3,IF(B33=informatieblad!$A$4,informatieblad!$B$4,IF(B33=informatieblad!$A$5,informatieblad!$B$5,"")))))))</f>
        <v/>
      </c>
      <c r="AZ34" s="275" t="str">
        <f>IF(D33=informatieblad!$A$6,informatieblad!$B$6,IF(D33=informatieblad!$A$7,informatieblad!$B$7,IF(D33=informatieblad!$A$8,informatieblad!$B$8,IF(D33=informatieblad!$A$2,informatieblad!$B$2,IF(D33=informatieblad!$A$3,informatieblad!$B$3,IF(D33=informatieblad!$A$4,informatieblad!$B$4,IF(D33=informatieblad!$A$5,informatieblad!$B$5,"")))))))</f>
        <v/>
      </c>
      <c r="BA34" s="276">
        <f>IF(AY34=BA32,(4*C34),0)</f>
        <v>0</v>
      </c>
      <c r="BB34" s="276">
        <f>IF(AZ34=BA32,(4*C34),0)</f>
        <v>0</v>
      </c>
      <c r="BC34" s="276">
        <f>IF(AY34=BC32,(4*C34),0)</f>
        <v>0</v>
      </c>
      <c r="BD34" s="274">
        <f>IF(AZ34=BC32,(4*C34),0)</f>
        <v>0</v>
      </c>
    </row>
    <row r="35" spans="1:56" ht="5.0999999999999996" customHeight="1" thickBot="1">
      <c r="A35" s="145"/>
      <c r="B35" s="122"/>
      <c r="C35" s="122"/>
      <c r="D35" s="122"/>
      <c r="E35" s="122"/>
      <c r="F35" s="122"/>
      <c r="G35" s="122"/>
      <c r="H35" s="122"/>
      <c r="I35" s="122"/>
      <c r="J35" s="146"/>
    </row>
    <row r="36" spans="1:56" ht="14.25" customHeight="1" thickBot="1">
      <c r="A36" s="445"/>
      <c r="B36" s="147"/>
      <c r="C36" s="147"/>
      <c r="D36" s="147"/>
      <c r="E36" s="147"/>
      <c r="F36" s="147">
        <f>(B36-D36)/2</f>
        <v>0</v>
      </c>
      <c r="G36" s="148">
        <f>(B36-D36)-F36</f>
        <v>0</v>
      </c>
      <c r="H36" s="149">
        <f>(C36-E36)/2</f>
        <v>0</v>
      </c>
      <c r="I36" s="150">
        <f>(C36-E36)-H36</f>
        <v>0</v>
      </c>
      <c r="J36" s="151"/>
      <c r="K36" s="345" t="s">
        <v>20</v>
      </c>
      <c r="O36" s="97" t="s">
        <v>14</v>
      </c>
      <c r="P36" s="98" t="s">
        <v>27</v>
      </c>
      <c r="Q36" s="98" t="s">
        <v>28</v>
      </c>
      <c r="R36" s="98" t="s">
        <v>27</v>
      </c>
      <c r="S36" s="98" t="s">
        <v>28</v>
      </c>
      <c r="T36" s="98" t="s">
        <v>29</v>
      </c>
      <c r="U36" s="66" t="s">
        <v>30</v>
      </c>
      <c r="V36" s="153" t="s">
        <v>31</v>
      </c>
      <c r="W36" s="153"/>
      <c r="X36" s="153"/>
      <c r="Y36" s="154" t="s">
        <v>83</v>
      </c>
      <c r="Z36" s="100" t="s">
        <v>83</v>
      </c>
      <c r="AA36" s="100" t="s">
        <v>83</v>
      </c>
      <c r="AB36" s="98" t="s">
        <v>84</v>
      </c>
      <c r="AC36" s="98" t="s">
        <v>85</v>
      </c>
      <c r="AD36" s="100" t="s">
        <v>86</v>
      </c>
      <c r="AE36" s="100" t="s">
        <v>34</v>
      </c>
      <c r="AF36" s="98" t="s">
        <v>32</v>
      </c>
      <c r="AG36" s="98" t="s">
        <v>32</v>
      </c>
      <c r="AH36" s="98" t="s">
        <v>35</v>
      </c>
      <c r="AI36" s="101" t="s">
        <v>36</v>
      </c>
      <c r="AK36" s="97" t="str">
        <f>informatieblad!$A$6</f>
        <v>FL20</v>
      </c>
      <c r="AL36" s="99"/>
      <c r="AM36" s="97" t="str">
        <f>informatieblad!$A$7</f>
        <v>FL30</v>
      </c>
      <c r="AN36" s="66"/>
      <c r="AO36" s="99" t="str">
        <f>informatieblad!$A$8</f>
        <v>FL40</v>
      </c>
      <c r="AP36" s="66"/>
      <c r="AQ36" s="97" t="str">
        <f>informatieblad!$A$5</f>
        <v>none</v>
      </c>
      <c r="AR36" s="264"/>
      <c r="AT36" s="266" t="s">
        <v>17</v>
      </c>
      <c r="AW36" s="266" t="s">
        <v>37</v>
      </c>
      <c r="AY36" s="269" t="s">
        <v>38</v>
      </c>
      <c r="AZ36" s="272"/>
      <c r="BA36" s="272">
        <f>informatieblad!$B$3</f>
        <v>0</v>
      </c>
      <c r="BB36" s="272">
        <f>informatieblad!$B$3</f>
        <v>0</v>
      </c>
      <c r="BC36" s="272">
        <f>informatieblad!$B$4</f>
        <v>0</v>
      </c>
      <c r="BD36" s="264">
        <f>informatieblad!$B$4</f>
        <v>0</v>
      </c>
    </row>
    <row r="37" spans="1:56" ht="15" customHeight="1">
      <c r="A37" s="467"/>
      <c r="B37" s="471" t="str">
        <f>IF($C38&gt;0,IF(MAX(B36:C36)&lt;informatieblad!$Q$4,informatieblad!$P$3,IF(MAX(B36:C36)&gt;informatieblad!$R$4,informatieblad!$P$5,informatieblad!$P$4)),"")</f>
        <v/>
      </c>
      <c r="C37" s="472"/>
      <c r="D37" s="471" t="str">
        <f>IF($C38&gt;0,IF(MAX(D36:E36)&lt;informatieblad!$Q$4,informatieblad!$P$3,IF(MAX(D36:E36)&gt;informatieblad!$R$4,informatieblad!$P$5,informatieblad!$P$4)),"")</f>
        <v/>
      </c>
      <c r="E37" s="472"/>
      <c r="F37" s="134" t="str">
        <f>A36&amp;"-"&amp;informatieblad!$B$13&amp;"-"&amp;B36&amp;"-"&amp;C36&amp;"-"&amp;D36&amp;"-"&amp;E36&amp;"-"&amp;F36&amp;"-"&amp;G36&amp;"-"&amp;H36&amp;"-"&amp;I36&amp;"-"&amp;J36&amp;"-"&amp;B37&amp;"-"&amp;G38</f>
        <v>-RctR-----0-0-0-0---Options None</v>
      </c>
      <c r="G37" s="88"/>
      <c r="H37" s="469" t="s">
        <v>82</v>
      </c>
      <c r="I37" s="470"/>
      <c r="J37" s="135" t="str">
        <f>(IF($C38&gt;0,(IF(240&gt;(MAX(C36-E36,E36-C36,B36-D36,D36-B36))/2*1.732,240,(MAX(C36-E36,E36-C36,B36-D36,D36-B36))/2*1.732)+30+30),""))</f>
        <v/>
      </c>
      <c r="O37" s="103">
        <f>A36</f>
        <v>0</v>
      </c>
      <c r="P37" s="104" t="s">
        <v>39</v>
      </c>
      <c r="Q37" s="104" t="s">
        <v>39</v>
      </c>
      <c r="R37" s="104" t="s">
        <v>40</v>
      </c>
      <c r="S37" s="104" t="s">
        <v>40</v>
      </c>
      <c r="T37" s="104" t="s">
        <v>40</v>
      </c>
      <c r="U37" s="105"/>
      <c r="V37" s="155" t="s">
        <v>27</v>
      </c>
      <c r="W37" s="155" t="s">
        <v>40</v>
      </c>
      <c r="X37" s="155" t="s">
        <v>41</v>
      </c>
      <c r="Y37" s="156" t="s">
        <v>87</v>
      </c>
      <c r="Z37" s="104" t="s">
        <v>88</v>
      </c>
      <c r="AA37" s="104"/>
      <c r="AC37" s="136" t="s">
        <v>87</v>
      </c>
      <c r="AD37" s="136" t="s">
        <v>88</v>
      </c>
      <c r="AE37" s="107"/>
      <c r="AF37" s="104" t="s">
        <v>40</v>
      </c>
      <c r="AG37" s="104" t="s">
        <v>41</v>
      </c>
      <c r="AH37" s="108"/>
      <c r="AI37" s="109"/>
      <c r="AK37" s="262" t="str">
        <f>informatieblad!$A$2</f>
        <v>FL20 loose</v>
      </c>
      <c r="AL37" s="263"/>
      <c r="AM37" s="262" t="str">
        <f>informatieblad!$A$3</f>
        <v>FL30 loose</v>
      </c>
      <c r="AN37" s="105"/>
      <c r="AO37" s="263" t="str">
        <f>informatieblad!$A$4</f>
        <v>FL40 loose</v>
      </c>
      <c r="AP37" s="105"/>
      <c r="AQ37" s="265"/>
      <c r="AR37" s="105"/>
      <c r="AT37" s="267"/>
      <c r="AV37" s="83" t="str">
        <f>'UC mounting materials '!$B$10</f>
        <v>Rail 30x15</v>
      </c>
      <c r="AW37" s="327">
        <f>IF(AA38&lt;1000,(AA38+100),0)*C38</f>
        <v>0</v>
      </c>
      <c r="AY37" s="265" t="s">
        <v>47</v>
      </c>
      <c r="AZ37" s="106" t="s">
        <v>48</v>
      </c>
      <c r="BA37" s="83" t="s">
        <v>23</v>
      </c>
      <c r="BB37" s="83" t="s">
        <v>23</v>
      </c>
      <c r="BC37" s="83" t="s">
        <v>23</v>
      </c>
      <c r="BD37" s="273" t="s">
        <v>23</v>
      </c>
    </row>
    <row r="38" spans="1:56" ht="15.75" customHeight="1" thickBot="1">
      <c r="A38" s="468"/>
      <c r="B38" s="137" t="s">
        <v>23</v>
      </c>
      <c r="C38" s="157"/>
      <c r="D38" s="139"/>
      <c r="E38" s="140">
        <f>C38*Q38</f>
        <v>0</v>
      </c>
      <c r="F38" s="141" t="s">
        <v>24</v>
      </c>
      <c r="G38" s="461" t="s">
        <v>25</v>
      </c>
      <c r="H38" s="473"/>
      <c r="I38" s="473"/>
      <c r="J38" s="474"/>
      <c r="O38" s="111"/>
      <c r="P38" s="112">
        <f>(((2*(Y38+Z38))*(J36))/1000000)</f>
        <v>0</v>
      </c>
      <c r="Q38" s="112">
        <f>((IF(P38&lt;=informatieblad!$I$13,informatieblad!$I$13,IF(P38&gt;=informatieblad!$I$13,P38))))</f>
        <v>0.5</v>
      </c>
      <c r="R38" s="158">
        <f>ROUND((((2*(Y38+Z38))*AB38)/1000000),2)</f>
        <v>0</v>
      </c>
      <c r="S38" s="112">
        <f>((IF(R38&lt;=informatieblad!$H$13,informatieblad!$H$13,IF(R38&gt;=informatieblad!$H$13,R38))))</f>
        <v>0</v>
      </c>
      <c r="T38" s="113">
        <f>((S38*AF38)+(S38*W38))*C38</f>
        <v>0</v>
      </c>
      <c r="U38" s="114">
        <f>((Q38*AG38)+(Q38*X38))*C38</f>
        <v>0</v>
      </c>
      <c r="V38" s="115" t="str">
        <f>G38</f>
        <v>Options None</v>
      </c>
      <c r="W38" s="115">
        <f>VLOOKUP(G38,informatieblad!$A$37:$D$41,2,FALSE)</f>
        <v>0</v>
      </c>
      <c r="X38" s="115">
        <f>VLOOKUP(G38,informatieblad!$A$37:$D$41,4,FALSE)</f>
        <v>0</v>
      </c>
      <c r="Y38" s="159">
        <f>(MAX(B36,D36))</f>
        <v>0</v>
      </c>
      <c r="Z38" s="160">
        <f>(MAX(C36,E36))</f>
        <v>0</v>
      </c>
      <c r="AA38" s="160">
        <f>(MAX(B36:E36))</f>
        <v>0</v>
      </c>
      <c r="AB38" s="161">
        <f>(MAX(AD38,AC38))</f>
        <v>0</v>
      </c>
      <c r="AC38" s="162">
        <f>ROUND((SQRT((((MAX(F36,G36))^2)+(J36^2)))),0)</f>
        <v>0</v>
      </c>
      <c r="AD38" s="163">
        <f>ROUND((SQRT((((MAX(H36,I36))^2)+(J36^2)))),0)</f>
        <v>0</v>
      </c>
      <c r="AE38" s="119">
        <f>LOOKUP(AA38,informatieblad!$C$27:$C$32,informatieblad!$A$27:$A$32)</f>
        <v>0.5</v>
      </c>
      <c r="AF38" s="118">
        <f>VLOOKUP(AE38,informatieblad!$A$27:$M$32,6,FALSE)</f>
        <v>0</v>
      </c>
      <c r="AG38" s="118">
        <f>VLOOKUP(AE38,informatieblad!$A$27:$M$32,8,FALSE)</f>
        <v>45.1248</v>
      </c>
      <c r="AH38" s="120">
        <f>VLOOKUP(AE38,informatieblad!$A$27:$M$32,13,FALSE)</f>
        <v>4</v>
      </c>
      <c r="AI38" s="121">
        <f>ROUND((AH38*S38),1)</f>
        <v>0</v>
      </c>
      <c r="AK38" s="111">
        <f>(IF(B37=AK36,((2*B36)+(2*C36)),IF(B37=AK37,((2*B36)+(2*C36)),0)))*C38</f>
        <v>0</v>
      </c>
      <c r="AL38" s="261">
        <f>(IF(D37=AK36,((2*D36)+(2*E36)),IF(D37=AK37,((2*D36)+(2*E36)),0)))*C38</f>
        <v>0</v>
      </c>
      <c r="AM38" s="111">
        <f>(IF(D37=AM36,((2*B36)+(2*C36)),IF(D37=AM37,((2*B36)+(2*C36)),0)))*C38</f>
        <v>0</v>
      </c>
      <c r="AN38" s="260">
        <f>(IF(D37=AM36,((2*D36)+(2*E36)),IF(D37=AM37,((2*D36)+(2*E36)),0)))*C38</f>
        <v>0</v>
      </c>
      <c r="AO38" s="261">
        <f>(IF(B37=AO36,((2*B36)+(2*C36)),IF(B37=AO37,((2*B36)+(2*C36)),0)))*C38</f>
        <v>0</v>
      </c>
      <c r="AP38" s="260">
        <f>(IF(D37=AO36,((2*D36)+(2*E36)),IF(D37=AO37,((2*D36)+(2*E36)),0)))*C38</f>
        <v>0</v>
      </c>
      <c r="AQ38" s="111">
        <f>(IF(B37=AQ36,((2*B36)+(2*C36)),0))*C38</f>
        <v>0</v>
      </c>
      <c r="AR38" s="260">
        <f>(IF(D37=AQ36,((2*D36)+(2*E36)),0))*C38</f>
        <v>0</v>
      </c>
      <c r="AT38" s="268">
        <f>J36*C38</f>
        <v>0</v>
      </c>
      <c r="AV38" s="83" t="str">
        <f>'UC mounting materials '!$B$11</f>
        <v>Rail 41x41</v>
      </c>
      <c r="AW38" s="268">
        <f>IF(AA38&gt;999,(AA38+100),0)*C38</f>
        <v>0</v>
      </c>
      <c r="AY38" s="111" t="str">
        <f>IF(B37=informatieblad!$A$6,informatieblad!$B$6,IF(B37=informatieblad!$A$7,informatieblad!$B$7,IF(B37=informatieblad!$A$8,informatieblad!$B$8,IF(B37=informatieblad!$A$2,informatieblad!$B$2,IF(B37=informatieblad!$A$3,informatieblad!$B$3,IF(B37=informatieblad!$A$4,informatieblad!$B$4,IF(B37=informatieblad!$A$5,informatieblad!$B$5,"")))))))</f>
        <v/>
      </c>
      <c r="AZ38" s="275" t="str">
        <f>IF(D37=informatieblad!$A$6,informatieblad!$B$6,IF(D37=informatieblad!$A$7,informatieblad!$B$7,IF(D37=informatieblad!$A$8,informatieblad!$B$8,IF(D37=informatieblad!$A$2,informatieblad!$B$2,IF(D37=informatieblad!$A$3,informatieblad!$B$3,IF(D37=informatieblad!$A$4,informatieblad!$B$4,IF(D37=informatieblad!$A$5,informatieblad!$B$5,"")))))))</f>
        <v/>
      </c>
      <c r="BA38" s="276">
        <f>IF(AY38=BA36,(4*C38),0)</f>
        <v>0</v>
      </c>
      <c r="BB38" s="276">
        <f>IF(AZ38=BA36,(4*C38),0)</f>
        <v>0</v>
      </c>
      <c r="BC38" s="276">
        <f>IF(AY38=BC36,(4*C38),0)</f>
        <v>0</v>
      </c>
      <c r="BD38" s="274">
        <f>IF(AZ38=BC36,(4*C38),0)</f>
        <v>0</v>
      </c>
    </row>
    <row r="39" spans="1:56" ht="5.0999999999999996" customHeight="1" thickBot="1">
      <c r="A39" s="145"/>
      <c r="B39" s="122"/>
      <c r="C39" s="122"/>
      <c r="D39" s="122"/>
      <c r="E39" s="122"/>
      <c r="F39" s="122"/>
      <c r="G39" s="122"/>
      <c r="H39" s="122"/>
      <c r="I39" s="122"/>
      <c r="J39" s="146"/>
    </row>
    <row r="40" spans="1:56" ht="15" thickBot="1">
      <c r="A40" s="445"/>
      <c r="B40" s="147"/>
      <c r="C40" s="147"/>
      <c r="D40" s="147"/>
      <c r="E40" s="147"/>
      <c r="F40" s="147">
        <f>(B40-D40)/2</f>
        <v>0</v>
      </c>
      <c r="G40" s="148">
        <f>(B40-D40)-F40</f>
        <v>0</v>
      </c>
      <c r="H40" s="149">
        <f>(C40-E40)/2</f>
        <v>0</v>
      </c>
      <c r="I40" s="150">
        <f>(C40-E40)-H40</f>
        <v>0</v>
      </c>
      <c r="J40" s="151"/>
      <c r="K40" s="345" t="s">
        <v>20</v>
      </c>
      <c r="O40" s="97" t="s">
        <v>14</v>
      </c>
      <c r="P40" s="98" t="s">
        <v>27</v>
      </c>
      <c r="Q40" s="98" t="s">
        <v>28</v>
      </c>
      <c r="R40" s="98" t="s">
        <v>27</v>
      </c>
      <c r="S40" s="98" t="s">
        <v>28</v>
      </c>
      <c r="T40" s="98" t="s">
        <v>29</v>
      </c>
      <c r="U40" s="66" t="s">
        <v>30</v>
      </c>
      <c r="V40" s="153" t="s">
        <v>31</v>
      </c>
      <c r="W40" s="153"/>
      <c r="X40" s="153"/>
      <c r="Y40" s="154" t="s">
        <v>83</v>
      </c>
      <c r="Z40" s="100" t="s">
        <v>83</v>
      </c>
      <c r="AA40" s="100" t="s">
        <v>83</v>
      </c>
      <c r="AB40" s="98" t="s">
        <v>84</v>
      </c>
      <c r="AC40" s="98" t="s">
        <v>85</v>
      </c>
      <c r="AD40" s="100" t="s">
        <v>86</v>
      </c>
      <c r="AE40" s="100" t="s">
        <v>34</v>
      </c>
      <c r="AF40" s="98" t="s">
        <v>32</v>
      </c>
      <c r="AG40" s="98" t="s">
        <v>32</v>
      </c>
      <c r="AH40" s="98" t="s">
        <v>35</v>
      </c>
      <c r="AI40" s="101" t="s">
        <v>36</v>
      </c>
      <c r="AK40" s="97" t="str">
        <f>informatieblad!$A$6</f>
        <v>FL20</v>
      </c>
      <c r="AL40" s="99"/>
      <c r="AM40" s="97" t="str">
        <f>informatieblad!$A$7</f>
        <v>FL30</v>
      </c>
      <c r="AN40" s="66"/>
      <c r="AO40" s="99" t="str">
        <f>informatieblad!$A$8</f>
        <v>FL40</v>
      </c>
      <c r="AP40" s="66"/>
      <c r="AQ40" s="97" t="str">
        <f>informatieblad!$A$5</f>
        <v>none</v>
      </c>
      <c r="AR40" s="264"/>
      <c r="AT40" s="266" t="s">
        <v>17</v>
      </c>
      <c r="AW40" s="266" t="s">
        <v>37</v>
      </c>
      <c r="AY40" s="269" t="s">
        <v>38</v>
      </c>
      <c r="AZ40" s="272"/>
      <c r="BA40" s="272">
        <f>informatieblad!$B$3</f>
        <v>0</v>
      </c>
      <c r="BB40" s="272">
        <f>informatieblad!$B$3</f>
        <v>0</v>
      </c>
      <c r="BC40" s="272">
        <f>informatieblad!$B$4</f>
        <v>0</v>
      </c>
      <c r="BD40" s="264">
        <f>informatieblad!$B$4</f>
        <v>0</v>
      </c>
    </row>
    <row r="41" spans="1:56">
      <c r="A41" s="446"/>
      <c r="B41" s="471" t="str">
        <f>IF($C42&gt;0,IF(MAX(B40:C40)&lt;informatieblad!$Q$4,informatieblad!$P$3,IF(MAX(B40:C40)&gt;informatieblad!$R$4,informatieblad!$P$5,informatieblad!$P$4)),"")</f>
        <v/>
      </c>
      <c r="C41" s="472"/>
      <c r="D41" s="471" t="str">
        <f>IF($C42&gt;0,IF(MAX(D40:E40)&lt;informatieblad!$Q$4,informatieblad!$P$3,IF(MAX(D40:E40)&gt;informatieblad!$R$4,informatieblad!$P$5,informatieblad!$P$4)),"")</f>
        <v/>
      </c>
      <c r="E41" s="472"/>
      <c r="F41" s="134" t="str">
        <f>A40&amp;"-"&amp;informatieblad!$B$13&amp;"-"&amp;B40&amp;"-"&amp;C40&amp;"-"&amp;D40&amp;"-"&amp;E40&amp;"-"&amp;F40&amp;"-"&amp;G40&amp;"-"&amp;H40&amp;"-"&amp;I40&amp;"-"&amp;J40&amp;"-"&amp;B41&amp;"-"&amp;G42</f>
        <v>-RctR-----0-0-0-0---Options None</v>
      </c>
      <c r="G41" s="88"/>
      <c r="H41" s="469" t="s">
        <v>82</v>
      </c>
      <c r="I41" s="470"/>
      <c r="J41" s="135" t="str">
        <f>(IF($C42&gt;0,(IF(240&gt;(MAX(C40-E40,E40-C40,B40-D40,D40-B40))/2*1.732,240,(MAX(C40-E40,E40-C40,B40-D40,D40-B40))/2*1.732)+30+30),""))</f>
        <v/>
      </c>
      <c r="O41" s="103">
        <f>A40</f>
        <v>0</v>
      </c>
      <c r="P41" s="104" t="s">
        <v>39</v>
      </c>
      <c r="Q41" s="104" t="s">
        <v>39</v>
      </c>
      <c r="R41" s="104" t="s">
        <v>40</v>
      </c>
      <c r="S41" s="104" t="s">
        <v>40</v>
      </c>
      <c r="T41" s="104" t="s">
        <v>40</v>
      </c>
      <c r="U41" s="105"/>
      <c r="V41" s="155" t="s">
        <v>27</v>
      </c>
      <c r="W41" s="155" t="s">
        <v>40</v>
      </c>
      <c r="X41" s="155" t="s">
        <v>41</v>
      </c>
      <c r="Y41" s="156" t="s">
        <v>87</v>
      </c>
      <c r="Z41" s="104" t="s">
        <v>88</v>
      </c>
      <c r="AA41" s="104"/>
      <c r="AC41" s="136" t="s">
        <v>87</v>
      </c>
      <c r="AD41" s="136" t="s">
        <v>88</v>
      </c>
      <c r="AE41" s="107"/>
      <c r="AF41" s="104" t="s">
        <v>40</v>
      </c>
      <c r="AG41" s="104" t="s">
        <v>41</v>
      </c>
      <c r="AH41" s="108"/>
      <c r="AI41" s="109"/>
      <c r="AK41" s="262" t="str">
        <f>informatieblad!$A$2</f>
        <v>FL20 loose</v>
      </c>
      <c r="AL41" s="263"/>
      <c r="AM41" s="262" t="str">
        <f>informatieblad!$A$3</f>
        <v>FL30 loose</v>
      </c>
      <c r="AN41" s="105"/>
      <c r="AO41" s="263" t="str">
        <f>informatieblad!$A$4</f>
        <v>FL40 loose</v>
      </c>
      <c r="AP41" s="105"/>
      <c r="AQ41" s="265"/>
      <c r="AR41" s="105"/>
      <c r="AT41" s="267"/>
      <c r="AV41" s="83" t="str">
        <f>'UC mounting materials '!$B$10</f>
        <v>Rail 30x15</v>
      </c>
      <c r="AW41" s="327">
        <f>IF(AA42&lt;1000,(AA42+100),0)*C42</f>
        <v>0</v>
      </c>
      <c r="AY41" s="265" t="s">
        <v>47</v>
      </c>
      <c r="AZ41" s="106" t="s">
        <v>48</v>
      </c>
      <c r="BA41" s="83" t="s">
        <v>23</v>
      </c>
      <c r="BB41" s="83" t="s">
        <v>23</v>
      </c>
      <c r="BC41" s="83" t="s">
        <v>23</v>
      </c>
      <c r="BD41" s="273" t="s">
        <v>23</v>
      </c>
    </row>
    <row r="42" spans="1:56" ht="15" thickBot="1">
      <c r="A42" s="476"/>
      <c r="B42" s="137" t="s">
        <v>23</v>
      </c>
      <c r="C42" s="157"/>
      <c r="D42" s="139"/>
      <c r="E42" s="140">
        <f>C42*Q42</f>
        <v>0</v>
      </c>
      <c r="F42" s="141" t="s">
        <v>24</v>
      </c>
      <c r="G42" s="461" t="s">
        <v>25</v>
      </c>
      <c r="H42" s="473"/>
      <c r="I42" s="473"/>
      <c r="J42" s="474"/>
      <c r="O42" s="111"/>
      <c r="P42" s="112">
        <f>(((2*(Y42+Z42))*(J40))/1000000)</f>
        <v>0</v>
      </c>
      <c r="Q42" s="112">
        <f>((IF(P42&lt;=informatieblad!$I$13,informatieblad!$I$13,IF(P42&gt;=informatieblad!$I$13,P42))))</f>
        <v>0.5</v>
      </c>
      <c r="R42" s="158">
        <f>ROUND((((2*(Y42+Z42))*AB42)/1000000),2)</f>
        <v>0</v>
      </c>
      <c r="S42" s="112">
        <f>((IF(R42&lt;=informatieblad!$H$13,informatieblad!$H$13,IF(R42&gt;=informatieblad!$H$13,R42))))</f>
        <v>0</v>
      </c>
      <c r="T42" s="113">
        <f>((S42*AF42)+(S42*W42))*C42</f>
        <v>0</v>
      </c>
      <c r="U42" s="114">
        <f>((Q42*AG42)+(Q42*X42))*C42</f>
        <v>0</v>
      </c>
      <c r="V42" s="115" t="str">
        <f>G42</f>
        <v>Options None</v>
      </c>
      <c r="W42" s="115">
        <f>VLOOKUP(G42,informatieblad!$A$37:$D$41,2,FALSE)</f>
        <v>0</v>
      </c>
      <c r="X42" s="115">
        <f>VLOOKUP(G42,informatieblad!$A$37:$D$41,4,FALSE)</f>
        <v>0</v>
      </c>
      <c r="Y42" s="159">
        <f>(MAX(B40,D40))</f>
        <v>0</v>
      </c>
      <c r="Z42" s="160">
        <f>(MAX(C40,E40))</f>
        <v>0</v>
      </c>
      <c r="AA42" s="160">
        <f>(MAX(B40:E40))</f>
        <v>0</v>
      </c>
      <c r="AB42" s="161">
        <f>(MAX(AD42,AC42))</f>
        <v>0</v>
      </c>
      <c r="AC42" s="162">
        <f>ROUND((SQRT((((MAX(F40,G40))^2)+(J40^2)))),0)</f>
        <v>0</v>
      </c>
      <c r="AD42" s="163">
        <f>ROUND((SQRT((((MAX(H40,I40))^2)+(J40^2)))),0)</f>
        <v>0</v>
      </c>
      <c r="AE42" s="119">
        <f>LOOKUP(AA42,informatieblad!$C$27:$C$32,informatieblad!$A$27:$A$32)</f>
        <v>0.5</v>
      </c>
      <c r="AF42" s="118">
        <f>VLOOKUP(AE42,informatieblad!$A$27:$M$32,6,FALSE)</f>
        <v>0</v>
      </c>
      <c r="AG42" s="118">
        <f>VLOOKUP(AE42,informatieblad!$A$27:$M$32,8,FALSE)</f>
        <v>45.1248</v>
      </c>
      <c r="AH42" s="120">
        <f>VLOOKUP(AE42,informatieblad!$A$27:$M$32,13,FALSE)</f>
        <v>4</v>
      </c>
      <c r="AI42" s="121">
        <f>ROUND((AH42*S42),1)</f>
        <v>0</v>
      </c>
      <c r="AK42" s="111">
        <f>(IF(B41=AK40,((2*B40)+(2*C40)),IF(B41=AK41,((2*B40)+(2*C40)),0)))*C42</f>
        <v>0</v>
      </c>
      <c r="AL42" s="261">
        <f>(IF(D41=AK40,((2*D40)+(2*E40)),IF(D41=AK41,((2*D40)+(2*E40)),0)))*C42</f>
        <v>0</v>
      </c>
      <c r="AM42" s="111">
        <f>(IF(D41=AM40,((2*B40)+(2*C40)),IF(D41=AM41,((2*B40)+(2*C40)),0)))*C42</f>
        <v>0</v>
      </c>
      <c r="AN42" s="260">
        <f>(IF(D41=AM40,((2*D40)+(2*E40)),IF(D41=AM41,((2*D40)+(2*E40)),0)))*C42</f>
        <v>0</v>
      </c>
      <c r="AO42" s="261">
        <f>(IF(B41=AO40,((2*B40)+(2*C40)),IF(B41=AO41,((2*B40)+(2*C40)),0)))*C42</f>
        <v>0</v>
      </c>
      <c r="AP42" s="260">
        <f>(IF(D41=AO40,((2*D40)+(2*E40)),IF(D41=AO41,((2*D40)+(2*E40)),0)))*C42</f>
        <v>0</v>
      </c>
      <c r="AQ42" s="111">
        <f>(IF(B41=AQ40,((2*B40)+(2*C40)),0))*C42</f>
        <v>0</v>
      </c>
      <c r="AR42" s="260">
        <f>(IF(D41=AQ40,((2*D40)+(2*E40)),0))*C42</f>
        <v>0</v>
      </c>
      <c r="AT42" s="268">
        <f>J40*C42</f>
        <v>0</v>
      </c>
      <c r="AV42" s="83" t="str">
        <f>'UC mounting materials '!$B$11</f>
        <v>Rail 41x41</v>
      </c>
      <c r="AW42" s="268">
        <f>IF(AA42&gt;999,(AA42+100),0)*C42</f>
        <v>0</v>
      </c>
      <c r="AY42" s="111" t="str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/>
      </c>
      <c r="AZ42" s="275" t="str">
        <f>IF(D41=informatieblad!$A$6,informatieblad!$B$6,IF(D41=informatieblad!$A$7,informatieblad!$B$7,IF(D41=informatieblad!$A$8,informatieblad!$B$8,IF(D41=informatieblad!$A$2,informatieblad!$B$2,IF(D41=informatieblad!$A$3,informatieblad!$B$3,IF(D41=informatieblad!$A$4,informatieblad!$B$4,IF(D41=informatieblad!$A$5,informatieblad!$B$5,"")))))))</f>
        <v/>
      </c>
      <c r="BA42" s="276">
        <f>IF(AY42=BA40,(4*C42),0)</f>
        <v>0</v>
      </c>
      <c r="BB42" s="276">
        <f>IF(AZ42=BA40,(4*C42),0)</f>
        <v>0</v>
      </c>
      <c r="BC42" s="276">
        <f>IF(AY42=BC40,(4*C42),0)</f>
        <v>0</v>
      </c>
      <c r="BD42" s="274">
        <f>IF(AZ42=BC40,(4*C42),0)</f>
        <v>0</v>
      </c>
    </row>
    <row r="43" spans="1:56" ht="5.0999999999999996" customHeight="1" thickBot="1">
      <c r="A43" s="145"/>
      <c r="B43" s="122"/>
      <c r="C43" s="122"/>
      <c r="D43" s="122"/>
      <c r="E43" s="122"/>
      <c r="F43" s="122"/>
      <c r="G43" s="122"/>
      <c r="H43" s="122"/>
      <c r="I43" s="122"/>
      <c r="J43" s="146"/>
    </row>
    <row r="44" spans="1:56" ht="14.25" customHeight="1" thickBot="1">
      <c r="A44" s="445"/>
      <c r="B44" s="147"/>
      <c r="C44" s="147"/>
      <c r="D44" s="147"/>
      <c r="E44" s="147"/>
      <c r="F44" s="147">
        <f>(B44-D44)/2</f>
        <v>0</v>
      </c>
      <c r="G44" s="148">
        <f>(B44-D44)-F44</f>
        <v>0</v>
      </c>
      <c r="H44" s="149">
        <f>(C44-E44)/2</f>
        <v>0</v>
      </c>
      <c r="I44" s="150">
        <f>(C44-E44)-H44</f>
        <v>0</v>
      </c>
      <c r="J44" s="151"/>
      <c r="K44" s="345" t="s">
        <v>20</v>
      </c>
      <c r="O44" s="97" t="s">
        <v>14</v>
      </c>
      <c r="P44" s="98" t="s">
        <v>27</v>
      </c>
      <c r="Q44" s="98" t="s">
        <v>28</v>
      </c>
      <c r="R44" s="98" t="s">
        <v>27</v>
      </c>
      <c r="S44" s="98" t="s">
        <v>28</v>
      </c>
      <c r="T44" s="98" t="s">
        <v>29</v>
      </c>
      <c r="U44" s="66" t="s">
        <v>30</v>
      </c>
      <c r="V44" s="153" t="s">
        <v>31</v>
      </c>
      <c r="W44" s="153"/>
      <c r="X44" s="153"/>
      <c r="Y44" s="154" t="s">
        <v>83</v>
      </c>
      <c r="Z44" s="100" t="s">
        <v>83</v>
      </c>
      <c r="AA44" s="100" t="s">
        <v>83</v>
      </c>
      <c r="AB44" s="98" t="s">
        <v>84</v>
      </c>
      <c r="AC44" s="98" t="s">
        <v>85</v>
      </c>
      <c r="AD44" s="100" t="s">
        <v>86</v>
      </c>
      <c r="AE44" s="100" t="s">
        <v>34</v>
      </c>
      <c r="AF44" s="98" t="s">
        <v>32</v>
      </c>
      <c r="AG44" s="98" t="s">
        <v>32</v>
      </c>
      <c r="AH44" s="98" t="s">
        <v>35</v>
      </c>
      <c r="AI44" s="101" t="s">
        <v>36</v>
      </c>
      <c r="AK44" s="97" t="str">
        <f>informatieblad!$A$6</f>
        <v>FL20</v>
      </c>
      <c r="AL44" s="99"/>
      <c r="AM44" s="97" t="str">
        <f>informatieblad!$A$7</f>
        <v>FL30</v>
      </c>
      <c r="AN44" s="66"/>
      <c r="AO44" s="99" t="str">
        <f>informatieblad!$A$8</f>
        <v>FL40</v>
      </c>
      <c r="AP44" s="66"/>
      <c r="AQ44" s="97" t="str">
        <f>informatieblad!$A$5</f>
        <v>none</v>
      </c>
      <c r="AR44" s="264"/>
      <c r="AT44" s="266" t="s">
        <v>17</v>
      </c>
      <c r="AW44" s="266" t="s">
        <v>37</v>
      </c>
      <c r="AY44" s="269" t="s">
        <v>38</v>
      </c>
      <c r="AZ44" s="272"/>
      <c r="BA44" s="272">
        <f>informatieblad!$B$3</f>
        <v>0</v>
      </c>
      <c r="BB44" s="272">
        <f>informatieblad!$B$3</f>
        <v>0</v>
      </c>
      <c r="BC44" s="272">
        <f>informatieblad!$B$4</f>
        <v>0</v>
      </c>
      <c r="BD44" s="264">
        <f>informatieblad!$B$4</f>
        <v>0</v>
      </c>
    </row>
    <row r="45" spans="1:56" ht="15" customHeight="1">
      <c r="A45" s="446"/>
      <c r="B45" s="471" t="str">
        <f>IF($C46&gt;0,IF(MAX(B44:C44)&lt;informatieblad!$Q$4,informatieblad!$P$3,IF(MAX(B44:C44)&gt;informatieblad!$R$4,informatieblad!$P$5,informatieblad!$P$4)),"")</f>
        <v/>
      </c>
      <c r="C45" s="472"/>
      <c r="D45" s="471" t="str">
        <f>IF($C46&gt;0,IF(MAX(D44:E44)&lt;informatieblad!$Q$4,informatieblad!$P$3,IF(MAX(D44:E44)&gt;informatieblad!$R$4,informatieblad!$P$5,informatieblad!$P$4)),"")</f>
        <v/>
      </c>
      <c r="E45" s="472"/>
      <c r="F45" s="134" t="str">
        <f>A44&amp;"-"&amp;informatieblad!$B$13&amp;"-"&amp;B44&amp;"-"&amp;C44&amp;"-"&amp;D44&amp;"-"&amp;E44&amp;"-"&amp;F44&amp;"-"&amp;G44&amp;"-"&amp;H44&amp;"-"&amp;I44&amp;"-"&amp;J44&amp;"-"&amp;B45&amp;"-"&amp;G46</f>
        <v>-RctR-----0-0-0-0---Options None</v>
      </c>
      <c r="G45" s="88"/>
      <c r="H45" s="469" t="s">
        <v>82</v>
      </c>
      <c r="I45" s="470"/>
      <c r="J45" s="135" t="str">
        <f>(IF($C46&gt;0,(IF(240&gt;(MAX(C44-E44,E44-C44,B44-D44,D44-B44))/2*1.732,240,(MAX(C44-E44,E44-C44,B44-D44,D44-B44))/2*1.732)+30+30),""))</f>
        <v/>
      </c>
      <c r="O45" s="103">
        <f>A44</f>
        <v>0</v>
      </c>
      <c r="P45" s="104" t="s">
        <v>39</v>
      </c>
      <c r="Q45" s="104" t="s">
        <v>39</v>
      </c>
      <c r="R45" s="104" t="s">
        <v>40</v>
      </c>
      <c r="S45" s="104" t="s">
        <v>40</v>
      </c>
      <c r="T45" s="104" t="s">
        <v>40</v>
      </c>
      <c r="U45" s="105"/>
      <c r="V45" s="155" t="s">
        <v>27</v>
      </c>
      <c r="W45" s="155" t="s">
        <v>40</v>
      </c>
      <c r="X45" s="155" t="s">
        <v>41</v>
      </c>
      <c r="Y45" s="156" t="s">
        <v>87</v>
      </c>
      <c r="Z45" s="104" t="s">
        <v>88</v>
      </c>
      <c r="AA45" s="104"/>
      <c r="AC45" s="136" t="s">
        <v>87</v>
      </c>
      <c r="AD45" s="136" t="s">
        <v>88</v>
      </c>
      <c r="AE45" s="107"/>
      <c r="AF45" s="104" t="s">
        <v>40</v>
      </c>
      <c r="AG45" s="104" t="s">
        <v>41</v>
      </c>
      <c r="AH45" s="108"/>
      <c r="AI45" s="109"/>
      <c r="AK45" s="262" t="str">
        <f>informatieblad!$A$2</f>
        <v>FL20 loose</v>
      </c>
      <c r="AL45" s="263"/>
      <c r="AM45" s="262" t="str">
        <f>informatieblad!$A$3</f>
        <v>FL30 loose</v>
      </c>
      <c r="AN45" s="105"/>
      <c r="AO45" s="263" t="str">
        <f>informatieblad!$A$4</f>
        <v>FL40 loose</v>
      </c>
      <c r="AP45" s="105"/>
      <c r="AQ45" s="265"/>
      <c r="AR45" s="105"/>
      <c r="AT45" s="267"/>
      <c r="AV45" s="83" t="str">
        <f>'UC mounting materials '!$B$10</f>
        <v>Rail 30x15</v>
      </c>
      <c r="AW45" s="327">
        <f>IF(AA46&lt;1000,(AA46+100),0)*C46</f>
        <v>0</v>
      </c>
      <c r="AY45" s="265" t="s">
        <v>47</v>
      </c>
      <c r="AZ45" s="106" t="s">
        <v>48</v>
      </c>
      <c r="BA45" s="83" t="s">
        <v>23</v>
      </c>
      <c r="BB45" s="83" t="s">
        <v>23</v>
      </c>
      <c r="BC45" s="83" t="s">
        <v>23</v>
      </c>
      <c r="BD45" s="273" t="s">
        <v>23</v>
      </c>
    </row>
    <row r="46" spans="1:56" ht="15.75" customHeight="1" thickBot="1">
      <c r="A46" s="476"/>
      <c r="B46" s="137" t="s">
        <v>23</v>
      </c>
      <c r="C46" s="157"/>
      <c r="D46" s="139"/>
      <c r="E46" s="140">
        <f>C46*Q46</f>
        <v>0</v>
      </c>
      <c r="F46" s="141" t="s">
        <v>24</v>
      </c>
      <c r="G46" s="461" t="s">
        <v>25</v>
      </c>
      <c r="H46" s="473"/>
      <c r="I46" s="473"/>
      <c r="J46" s="474"/>
      <c r="O46" s="111"/>
      <c r="P46" s="112">
        <f>(((2*(Y46+Z46))*(J44))/1000000)</f>
        <v>0</v>
      </c>
      <c r="Q46" s="112">
        <f>((IF(P46&lt;=informatieblad!$I$13,informatieblad!$I$13,IF(P46&gt;=informatieblad!$I$13,P46))))</f>
        <v>0.5</v>
      </c>
      <c r="R46" s="158">
        <f>ROUND((((2*(Y46+Z46))*AB46)/1000000),2)</f>
        <v>0</v>
      </c>
      <c r="S46" s="112">
        <f>((IF(R46&lt;=informatieblad!$H$13,informatieblad!$H$13,IF(R46&gt;=informatieblad!$H$13,R46))))</f>
        <v>0</v>
      </c>
      <c r="T46" s="113">
        <f>((S46*AF46)+(S46*W46))*C46</f>
        <v>0</v>
      </c>
      <c r="U46" s="114">
        <f>((Q46*AG46)+(Q46*X46))*C46</f>
        <v>0</v>
      </c>
      <c r="V46" s="115" t="str">
        <f>G46</f>
        <v>Options None</v>
      </c>
      <c r="W46" s="115">
        <f>VLOOKUP(G46,informatieblad!$A$37:$D$41,2,FALSE)</f>
        <v>0</v>
      </c>
      <c r="X46" s="115">
        <f>VLOOKUP(G46,informatieblad!$A$37:$D$41,4,FALSE)</f>
        <v>0</v>
      </c>
      <c r="Y46" s="159">
        <f>(MAX(B44,D44))</f>
        <v>0</v>
      </c>
      <c r="Z46" s="160">
        <f>(MAX(C44,E44))</f>
        <v>0</v>
      </c>
      <c r="AA46" s="160">
        <f>(MAX(B44:E44))</f>
        <v>0</v>
      </c>
      <c r="AB46" s="161">
        <f>(MAX(AD46,AC46))</f>
        <v>0</v>
      </c>
      <c r="AC46" s="162">
        <f>ROUND((SQRT((((MAX(F44,G44))^2)+(J44^2)))),0)</f>
        <v>0</v>
      </c>
      <c r="AD46" s="163">
        <f>ROUND((SQRT((((MAX(H44,I44))^2)+(J44^2)))),0)</f>
        <v>0</v>
      </c>
      <c r="AE46" s="119">
        <f>LOOKUP(AA46,informatieblad!$C$27:$C$32,informatieblad!$A$27:$A$32)</f>
        <v>0.5</v>
      </c>
      <c r="AF46" s="118">
        <f>VLOOKUP(AE46,informatieblad!$A$27:$M$32,6,FALSE)</f>
        <v>0</v>
      </c>
      <c r="AG46" s="118">
        <f>VLOOKUP(AE46,informatieblad!$A$27:$M$32,8,FALSE)</f>
        <v>45.1248</v>
      </c>
      <c r="AH46" s="120">
        <f>VLOOKUP(AE46,informatieblad!$A$27:$M$32,13,FALSE)</f>
        <v>4</v>
      </c>
      <c r="AI46" s="121">
        <f>ROUND((AH46*S46),1)</f>
        <v>0</v>
      </c>
      <c r="AK46" s="111">
        <f>(IF(B45=AK44,((2*B44)+(2*C44)),IF(B45=AK45,((2*B44)+(2*C44)),0)))*C46</f>
        <v>0</v>
      </c>
      <c r="AL46" s="261">
        <f>(IF(D45=AK44,((2*D44)+(2*E44)),IF(D45=AK45,((2*D44)+(2*E44)),0)))*C46</f>
        <v>0</v>
      </c>
      <c r="AM46" s="111">
        <f>(IF(D45=AM44,((2*B44)+(2*C44)),IF(D45=AM45,((2*B44)+(2*C44)),0)))*C46</f>
        <v>0</v>
      </c>
      <c r="AN46" s="260">
        <f>(IF(D45=AM44,((2*D44)+(2*E44)),IF(D45=AM45,((2*D44)+(2*E44)),0)))*C46</f>
        <v>0</v>
      </c>
      <c r="AO46" s="261">
        <f>(IF(B45=AO44,((2*B44)+(2*C44)),IF(B45=AO45,((2*B44)+(2*C44)),0)))*C46</f>
        <v>0</v>
      </c>
      <c r="AP46" s="260">
        <f>(IF(D45=AO44,((2*D44)+(2*E44)),IF(D45=AO45,((2*D44)+(2*E44)),0)))*C46</f>
        <v>0</v>
      </c>
      <c r="AQ46" s="111">
        <f>(IF(B45=AQ44,((2*B44)+(2*C44)),0))*C46</f>
        <v>0</v>
      </c>
      <c r="AR46" s="260">
        <f>(IF(D45=AQ44,((2*D44)+(2*E44)),0))*C46</f>
        <v>0</v>
      </c>
      <c r="AT46" s="268">
        <f>J44*C46</f>
        <v>0</v>
      </c>
      <c r="AV46" s="83" t="str">
        <f>'UC mounting materials '!$B$11</f>
        <v>Rail 41x41</v>
      </c>
      <c r="AW46" s="268">
        <f>IF(AA46&gt;999,(AA46+100),0)*C46</f>
        <v>0</v>
      </c>
      <c r="AY46" s="111" t="str">
        <f>IF(B45=informatieblad!$A$6,informatieblad!$B$6,IF(B45=informatieblad!$A$7,informatieblad!$B$7,IF(B45=informatieblad!$A$8,informatieblad!$B$8,IF(B45=informatieblad!$A$2,informatieblad!$B$2,IF(B45=informatieblad!$A$3,informatieblad!$B$3,IF(B45=informatieblad!$A$4,informatieblad!$B$4,IF(B45=informatieblad!$A$5,informatieblad!$B$5,"")))))))</f>
        <v/>
      </c>
      <c r="AZ46" s="275" t="str">
        <f>IF(D45=informatieblad!$A$6,informatieblad!$B$6,IF(D45=informatieblad!$A$7,informatieblad!$B$7,IF(D45=informatieblad!$A$8,informatieblad!$B$8,IF(D45=informatieblad!$A$2,informatieblad!$B$2,IF(D45=informatieblad!$A$3,informatieblad!$B$3,IF(D45=informatieblad!$A$4,informatieblad!$B$4,IF(D45=informatieblad!$A$5,informatieblad!$B$5,"")))))))</f>
        <v/>
      </c>
      <c r="BA46" s="276">
        <f>IF(AY46=BA44,(4*C46),0)</f>
        <v>0</v>
      </c>
      <c r="BB46" s="276">
        <f>IF(AZ46=BA44,(4*C46),0)</f>
        <v>0</v>
      </c>
      <c r="BC46" s="276">
        <f>IF(AY46=BC44,(4*C46),0)</f>
        <v>0</v>
      </c>
      <c r="BD46" s="274">
        <f>IF(AZ46=BC44,(4*C46),0)</f>
        <v>0</v>
      </c>
    </row>
    <row r="47" spans="1:56" ht="5.0999999999999996" customHeight="1" thickBot="1">
      <c r="A47" s="145"/>
      <c r="B47" s="122"/>
      <c r="C47" s="122"/>
      <c r="D47" s="122"/>
      <c r="E47" s="122"/>
      <c r="F47" s="122"/>
      <c r="G47" s="122"/>
      <c r="H47" s="122"/>
      <c r="I47" s="122"/>
      <c r="J47" s="146"/>
    </row>
    <row r="48" spans="1:56" ht="15" thickBot="1">
      <c r="A48" s="445"/>
      <c r="B48" s="147"/>
      <c r="C48" s="147"/>
      <c r="D48" s="147"/>
      <c r="E48" s="147"/>
      <c r="F48" s="147">
        <f>(B48-D48)/2</f>
        <v>0</v>
      </c>
      <c r="G48" s="148">
        <f>(B48-D48)-F48</f>
        <v>0</v>
      </c>
      <c r="H48" s="149">
        <f>(C48-E48)/2</f>
        <v>0</v>
      </c>
      <c r="I48" s="150">
        <f>(C48-E48)-H48</f>
        <v>0</v>
      </c>
      <c r="J48" s="151"/>
      <c r="K48" s="345" t="s">
        <v>20</v>
      </c>
      <c r="O48" s="97" t="s">
        <v>14</v>
      </c>
      <c r="P48" s="98" t="s">
        <v>27</v>
      </c>
      <c r="Q48" s="98" t="s">
        <v>28</v>
      </c>
      <c r="R48" s="98" t="s">
        <v>27</v>
      </c>
      <c r="S48" s="98" t="s">
        <v>28</v>
      </c>
      <c r="T48" s="98" t="s">
        <v>29</v>
      </c>
      <c r="U48" s="66" t="s">
        <v>30</v>
      </c>
      <c r="V48" s="153" t="s">
        <v>31</v>
      </c>
      <c r="W48" s="153"/>
      <c r="X48" s="153"/>
      <c r="Y48" s="154" t="s">
        <v>83</v>
      </c>
      <c r="Z48" s="100" t="s">
        <v>83</v>
      </c>
      <c r="AA48" s="100" t="s">
        <v>83</v>
      </c>
      <c r="AB48" s="98" t="s">
        <v>84</v>
      </c>
      <c r="AC48" s="98" t="s">
        <v>85</v>
      </c>
      <c r="AD48" s="100" t="s">
        <v>86</v>
      </c>
      <c r="AE48" s="100" t="s">
        <v>34</v>
      </c>
      <c r="AF48" s="98" t="s">
        <v>32</v>
      </c>
      <c r="AG48" s="98" t="s">
        <v>32</v>
      </c>
      <c r="AH48" s="98" t="s">
        <v>35</v>
      </c>
      <c r="AI48" s="101" t="s">
        <v>36</v>
      </c>
      <c r="AK48" s="97" t="str">
        <f>informatieblad!$A$6</f>
        <v>FL20</v>
      </c>
      <c r="AL48" s="99"/>
      <c r="AM48" s="97" t="str">
        <f>informatieblad!$A$7</f>
        <v>FL30</v>
      </c>
      <c r="AN48" s="66"/>
      <c r="AO48" s="99" t="str">
        <f>informatieblad!$A$8</f>
        <v>FL40</v>
      </c>
      <c r="AP48" s="66"/>
      <c r="AQ48" s="97" t="str">
        <f>informatieblad!$A$5</f>
        <v>none</v>
      </c>
      <c r="AR48" s="264"/>
      <c r="AT48" s="266" t="s">
        <v>17</v>
      </c>
      <c r="AW48" s="266" t="s">
        <v>37</v>
      </c>
      <c r="AY48" s="269" t="s">
        <v>38</v>
      </c>
      <c r="AZ48" s="272"/>
      <c r="BA48" s="272">
        <f>informatieblad!$B$3</f>
        <v>0</v>
      </c>
      <c r="BB48" s="272">
        <f>informatieblad!$B$3</f>
        <v>0</v>
      </c>
      <c r="BC48" s="272">
        <f>informatieblad!$B$4</f>
        <v>0</v>
      </c>
      <c r="BD48" s="264">
        <f>informatieblad!$B$4</f>
        <v>0</v>
      </c>
    </row>
    <row r="49" spans="1:56">
      <c r="A49" s="446"/>
      <c r="B49" s="471" t="str">
        <f>IF($C50&gt;0,IF(MAX(B48:C48)&lt;informatieblad!$Q$4,informatieblad!$P$3,IF(MAX(B48:C48)&gt;informatieblad!$R$4,informatieblad!$P$5,informatieblad!$P$4)),"")</f>
        <v/>
      </c>
      <c r="C49" s="472"/>
      <c r="D49" s="471" t="str">
        <f>IF($C50&gt;0,IF(MAX(D48:E48)&lt;informatieblad!$Q$4,informatieblad!$P$3,IF(MAX(D48:E48)&gt;informatieblad!$R$4,informatieblad!$P$5,informatieblad!$P$4)),"")</f>
        <v/>
      </c>
      <c r="E49" s="472"/>
      <c r="F49" s="134" t="str">
        <f>A48&amp;"-"&amp;informatieblad!$B$13&amp;"-"&amp;B48&amp;"-"&amp;C48&amp;"-"&amp;D48&amp;"-"&amp;E48&amp;"-"&amp;F48&amp;"-"&amp;G48&amp;"-"&amp;H48&amp;"-"&amp;I48&amp;"-"&amp;J48&amp;"-"&amp;B49&amp;"-"&amp;G50</f>
        <v>-RctR-----0-0-0-0---Options None</v>
      </c>
      <c r="G49" s="88"/>
      <c r="H49" s="469" t="s">
        <v>82</v>
      </c>
      <c r="I49" s="470"/>
      <c r="J49" s="135" t="str">
        <f>(IF($C50&gt;0,(IF(240&gt;(MAX(C48-E48,E48-C48,B48-D48,D48-B48))/2*1.732,240,(MAX(C48-E48,E48-C48,B48-D48,D48-B48))/2*1.732)+30+30),""))</f>
        <v/>
      </c>
      <c r="O49" s="103">
        <f>A48</f>
        <v>0</v>
      </c>
      <c r="P49" s="104" t="s">
        <v>39</v>
      </c>
      <c r="Q49" s="104" t="s">
        <v>39</v>
      </c>
      <c r="R49" s="104" t="s">
        <v>40</v>
      </c>
      <c r="S49" s="104" t="s">
        <v>40</v>
      </c>
      <c r="T49" s="104" t="s">
        <v>40</v>
      </c>
      <c r="U49" s="105"/>
      <c r="V49" s="155" t="s">
        <v>27</v>
      </c>
      <c r="W49" s="155" t="s">
        <v>40</v>
      </c>
      <c r="X49" s="155" t="s">
        <v>41</v>
      </c>
      <c r="Y49" s="156" t="s">
        <v>87</v>
      </c>
      <c r="Z49" s="104" t="s">
        <v>88</v>
      </c>
      <c r="AA49" s="104"/>
      <c r="AC49" s="136" t="s">
        <v>87</v>
      </c>
      <c r="AD49" s="136" t="s">
        <v>88</v>
      </c>
      <c r="AE49" s="107"/>
      <c r="AF49" s="104" t="s">
        <v>40</v>
      </c>
      <c r="AG49" s="104" t="s">
        <v>41</v>
      </c>
      <c r="AH49" s="108"/>
      <c r="AI49" s="109"/>
      <c r="AK49" s="262" t="str">
        <f>informatieblad!$A$2</f>
        <v>FL20 loose</v>
      </c>
      <c r="AL49" s="263"/>
      <c r="AM49" s="262" t="str">
        <f>informatieblad!$A$3</f>
        <v>FL30 loose</v>
      </c>
      <c r="AN49" s="105"/>
      <c r="AO49" s="263" t="str">
        <f>informatieblad!$A$4</f>
        <v>FL40 loose</v>
      </c>
      <c r="AP49" s="105"/>
      <c r="AQ49" s="265"/>
      <c r="AR49" s="105"/>
      <c r="AT49" s="267"/>
      <c r="AV49" s="83" t="str">
        <f>'UC mounting materials '!$B$10</f>
        <v>Rail 30x15</v>
      </c>
      <c r="AW49" s="327">
        <f>IF(AA50&lt;1000,(AA50+100),0)*C50</f>
        <v>0</v>
      </c>
      <c r="AY49" s="265" t="s">
        <v>47</v>
      </c>
      <c r="AZ49" s="106" t="s">
        <v>48</v>
      </c>
      <c r="BA49" s="83" t="s">
        <v>23</v>
      </c>
      <c r="BB49" s="83" t="s">
        <v>23</v>
      </c>
      <c r="BC49" s="83" t="s">
        <v>23</v>
      </c>
      <c r="BD49" s="273" t="s">
        <v>23</v>
      </c>
    </row>
    <row r="50" spans="1:56" ht="15" thickBot="1">
      <c r="A50" s="476"/>
      <c r="B50" s="137" t="s">
        <v>23</v>
      </c>
      <c r="C50" s="157"/>
      <c r="D50" s="139"/>
      <c r="E50" s="140">
        <f>C50*Q50</f>
        <v>0</v>
      </c>
      <c r="F50" s="141" t="s">
        <v>24</v>
      </c>
      <c r="G50" s="461" t="s">
        <v>25</v>
      </c>
      <c r="H50" s="473"/>
      <c r="I50" s="473"/>
      <c r="J50" s="474"/>
      <c r="O50" s="111"/>
      <c r="P50" s="112">
        <f>(((2*(Y50+Z50))*(J48))/1000000)</f>
        <v>0</v>
      </c>
      <c r="Q50" s="112">
        <f>((IF(P50&lt;=informatieblad!$I$13,informatieblad!$I$13,IF(P50&gt;=informatieblad!$I$13,P50))))</f>
        <v>0.5</v>
      </c>
      <c r="R50" s="158">
        <f>ROUND((((2*(Y50+Z50))*AB50)/1000000),2)</f>
        <v>0</v>
      </c>
      <c r="S50" s="112">
        <f>((IF(R50&lt;=informatieblad!$H$13,informatieblad!$H$13,IF(R50&gt;=informatieblad!$H$13,R50))))</f>
        <v>0</v>
      </c>
      <c r="T50" s="113">
        <f>((S50*AF50)+(S50*W50))*C50</f>
        <v>0</v>
      </c>
      <c r="U50" s="114">
        <f>((Q50*AG50)+(Q50*X50))*C50</f>
        <v>0</v>
      </c>
      <c r="V50" s="115" t="str">
        <f>G50</f>
        <v>Options None</v>
      </c>
      <c r="W50" s="115">
        <f>VLOOKUP(G50,informatieblad!$A$37:$D$41,2,FALSE)</f>
        <v>0</v>
      </c>
      <c r="X50" s="115">
        <f>VLOOKUP(G50,informatieblad!$A$37:$D$41,4,FALSE)</f>
        <v>0</v>
      </c>
      <c r="Y50" s="159">
        <f>(MAX(B48,D48))</f>
        <v>0</v>
      </c>
      <c r="Z50" s="160">
        <f>(MAX(C48,E48))</f>
        <v>0</v>
      </c>
      <c r="AA50" s="160">
        <f>(MAX(B48:E48))</f>
        <v>0</v>
      </c>
      <c r="AB50" s="161">
        <f>(MAX(AD50,AC50))</f>
        <v>0</v>
      </c>
      <c r="AC50" s="162">
        <f>ROUND((SQRT((((MAX(F48,G48))^2)+(J48^2)))),0)</f>
        <v>0</v>
      </c>
      <c r="AD50" s="163">
        <f>ROUND((SQRT((((MAX(H48,I48))^2)+(J48^2)))),0)</f>
        <v>0</v>
      </c>
      <c r="AE50" s="119">
        <f>LOOKUP(AA50,informatieblad!$C$27:$C$32,informatieblad!$A$27:$A$32)</f>
        <v>0.5</v>
      </c>
      <c r="AF50" s="118">
        <f>VLOOKUP(AE50,informatieblad!$A$27:$M$32,6,FALSE)</f>
        <v>0</v>
      </c>
      <c r="AG50" s="118">
        <f>VLOOKUP(AE50,informatieblad!$A$27:$M$32,8,FALSE)</f>
        <v>45.1248</v>
      </c>
      <c r="AH50" s="120">
        <f>VLOOKUP(AE50,informatieblad!$A$27:$M$32,13,FALSE)</f>
        <v>4</v>
      </c>
      <c r="AI50" s="121">
        <f>ROUND((AH50*S50),1)</f>
        <v>0</v>
      </c>
      <c r="AK50" s="111">
        <f>(IF(B49=AK48,((2*B48)+(2*C48)),IF(B49=AK49,((2*B48)+(2*C48)),0)))*C50</f>
        <v>0</v>
      </c>
      <c r="AL50" s="261">
        <f>(IF(D49=AK48,((2*D48)+(2*E48)),IF(D49=AK49,((2*D48)+(2*E48)),0)))*C50</f>
        <v>0</v>
      </c>
      <c r="AM50" s="111">
        <f>(IF(D49=AM48,((2*B48)+(2*C48)),IF(D49=AM49,((2*B48)+(2*C48)),0)))*C50</f>
        <v>0</v>
      </c>
      <c r="AN50" s="260">
        <f>(IF(D49=AM48,((2*D48)+(2*E48)),IF(D49=AM49,((2*D48)+(2*E48)),0)))*C50</f>
        <v>0</v>
      </c>
      <c r="AO50" s="261">
        <f>(IF(B49=AO48,((2*B48)+(2*C48)),IF(B49=AO49,((2*B48)+(2*C48)),0)))*C50</f>
        <v>0</v>
      </c>
      <c r="AP50" s="260">
        <f>(IF(D49=AO48,((2*D48)+(2*E48)),IF(D49=AO49,((2*D48)+(2*E48)),0)))*C50</f>
        <v>0</v>
      </c>
      <c r="AQ50" s="111">
        <f>(IF(B49=AQ48,((2*B48)+(2*C48)),0))*C50</f>
        <v>0</v>
      </c>
      <c r="AR50" s="260">
        <f>(IF(D49=AQ48,((2*D48)+(2*E48)),0))*C50</f>
        <v>0</v>
      </c>
      <c r="AT50" s="268">
        <f>J48*C50</f>
        <v>0</v>
      </c>
      <c r="AV50" s="83" t="str">
        <f>'UC mounting materials '!$B$11</f>
        <v>Rail 41x41</v>
      </c>
      <c r="AW50" s="268">
        <f>IF(AA50&gt;999,(AA50+100),0)*C50</f>
        <v>0</v>
      </c>
      <c r="AY50" s="111" t="str">
        <f>IF(B49=informatieblad!$A$6,informatieblad!$B$6,IF(B49=informatieblad!$A$7,informatieblad!$B$7,IF(B49=informatieblad!$A$8,informatieblad!$B$8,IF(B49=informatieblad!$A$2,informatieblad!$B$2,IF(B49=informatieblad!$A$3,informatieblad!$B$3,IF(B49=informatieblad!$A$4,informatieblad!$B$4,IF(B49=informatieblad!$A$5,informatieblad!$B$5,"")))))))</f>
        <v/>
      </c>
      <c r="AZ50" s="275" t="str">
        <f>IF(D49=informatieblad!$A$6,informatieblad!$B$6,IF(D49=informatieblad!$A$7,informatieblad!$B$7,IF(D49=informatieblad!$A$8,informatieblad!$B$8,IF(D49=informatieblad!$A$2,informatieblad!$B$2,IF(D49=informatieblad!$A$3,informatieblad!$B$3,IF(D49=informatieblad!$A$4,informatieblad!$B$4,IF(D49=informatieblad!$A$5,informatieblad!$B$5,"")))))))</f>
        <v/>
      </c>
      <c r="BA50" s="276">
        <f>IF(AY50=BA48,(4*C50),0)</f>
        <v>0</v>
      </c>
      <c r="BB50" s="276">
        <f>IF(AZ50=BA48,(4*C50),0)</f>
        <v>0</v>
      </c>
      <c r="BC50" s="276">
        <f>IF(AY50=BC48,(4*C50),0)</f>
        <v>0</v>
      </c>
      <c r="BD50" s="274">
        <f>IF(AZ50=BC48,(4*C50),0)</f>
        <v>0</v>
      </c>
    </row>
    <row r="51" spans="1:56" ht="5.0999999999999996" customHeight="1" thickBot="1">
      <c r="A51" s="145"/>
      <c r="B51" s="122"/>
      <c r="C51" s="122"/>
      <c r="D51" s="122"/>
      <c r="E51" s="122"/>
      <c r="F51" s="122"/>
      <c r="G51" s="122"/>
      <c r="H51" s="122"/>
      <c r="I51" s="122"/>
      <c r="J51" s="146"/>
      <c r="AY51" s="61"/>
      <c r="AZ51" s="62"/>
      <c r="BA51" s="62"/>
      <c r="BB51" s="62"/>
      <c r="BC51" s="62"/>
      <c r="BD51" s="63"/>
    </row>
    <row r="52" spans="1:56" ht="14.25" customHeight="1" thickBot="1">
      <c r="A52" s="445"/>
      <c r="B52" s="147"/>
      <c r="C52" s="147"/>
      <c r="D52" s="147"/>
      <c r="E52" s="147"/>
      <c r="F52" s="147">
        <f>(B52-D52)/2</f>
        <v>0</v>
      </c>
      <c r="G52" s="148">
        <f>(B52-D52)-F52</f>
        <v>0</v>
      </c>
      <c r="H52" s="149">
        <f>(C52-E52)/2</f>
        <v>0</v>
      </c>
      <c r="I52" s="150">
        <f>(C52-E52)-H52</f>
        <v>0</v>
      </c>
      <c r="J52" s="151"/>
      <c r="K52" s="345" t="s">
        <v>20</v>
      </c>
      <c r="O52" s="97" t="s">
        <v>14</v>
      </c>
      <c r="P52" s="98" t="s">
        <v>27</v>
      </c>
      <c r="Q52" s="98" t="s">
        <v>28</v>
      </c>
      <c r="R52" s="98" t="s">
        <v>27</v>
      </c>
      <c r="S52" s="98" t="s">
        <v>28</v>
      </c>
      <c r="T52" s="98" t="s">
        <v>29</v>
      </c>
      <c r="U52" s="66" t="s">
        <v>30</v>
      </c>
      <c r="V52" s="153" t="s">
        <v>31</v>
      </c>
      <c r="W52" s="153"/>
      <c r="X52" s="153"/>
      <c r="Y52" s="154" t="s">
        <v>83</v>
      </c>
      <c r="Z52" s="100" t="s">
        <v>83</v>
      </c>
      <c r="AA52" s="100" t="s">
        <v>83</v>
      </c>
      <c r="AB52" s="98" t="s">
        <v>84</v>
      </c>
      <c r="AC52" s="98" t="s">
        <v>85</v>
      </c>
      <c r="AD52" s="100" t="s">
        <v>86</v>
      </c>
      <c r="AE52" s="100" t="s">
        <v>34</v>
      </c>
      <c r="AF52" s="98" t="s">
        <v>32</v>
      </c>
      <c r="AG52" s="98" t="s">
        <v>32</v>
      </c>
      <c r="AH52" s="98" t="s">
        <v>35</v>
      </c>
      <c r="AI52" s="101" t="s">
        <v>36</v>
      </c>
      <c r="AK52" s="97" t="str">
        <f>informatieblad!$A$6</f>
        <v>FL20</v>
      </c>
      <c r="AL52" s="99"/>
      <c r="AM52" s="97" t="str">
        <f>informatieblad!$A$7</f>
        <v>FL30</v>
      </c>
      <c r="AN52" s="66"/>
      <c r="AO52" s="99" t="str">
        <f>informatieblad!$A$8</f>
        <v>FL40</v>
      </c>
      <c r="AP52" s="66"/>
      <c r="AQ52" s="97" t="str">
        <f>informatieblad!$A$5</f>
        <v>none</v>
      </c>
      <c r="AR52" s="264"/>
      <c r="AS52" s="62"/>
      <c r="AT52" s="266" t="s">
        <v>17</v>
      </c>
      <c r="AW52" s="266" t="s">
        <v>37</v>
      </c>
      <c r="AY52" s="269" t="s">
        <v>38</v>
      </c>
      <c r="AZ52" s="272"/>
      <c r="BA52" s="272">
        <f>informatieblad!$B$3</f>
        <v>0</v>
      </c>
      <c r="BB52" s="272">
        <f>informatieblad!$B$3</f>
        <v>0</v>
      </c>
      <c r="BC52" s="272">
        <f>informatieblad!$B$4</f>
        <v>0</v>
      </c>
      <c r="BD52" s="264">
        <f>informatieblad!$B$4</f>
        <v>0</v>
      </c>
    </row>
    <row r="53" spans="1:56" ht="15" customHeight="1">
      <c r="A53" s="446"/>
      <c r="B53" s="471" t="str">
        <f>IF($C54&gt;0,IF(MAX(B52:C52)&lt;informatieblad!$Q$4,informatieblad!$P$3,IF(MAX(B52:C52)&gt;informatieblad!$R$4,informatieblad!$P$5,informatieblad!$P$4)),"")</f>
        <v/>
      </c>
      <c r="C53" s="472"/>
      <c r="D53" s="471" t="str">
        <f>IF($C54&gt;0,IF(MAX(D52:E52)&lt;informatieblad!$Q$4,informatieblad!$P$3,IF(MAX(D52:E52)&gt;informatieblad!$R$4,informatieblad!$P$5,informatieblad!$P$4)),"")</f>
        <v/>
      </c>
      <c r="E53" s="472"/>
      <c r="F53" s="134" t="str">
        <f>A52&amp;"-"&amp;informatieblad!$B$13&amp;"-"&amp;B52&amp;"-"&amp;C52&amp;"-"&amp;D52&amp;"-"&amp;E52&amp;"-"&amp;F52&amp;"-"&amp;G52&amp;"-"&amp;H52&amp;"-"&amp;I52&amp;"-"&amp;J52&amp;"-"&amp;B53&amp;"-"&amp;G54</f>
        <v>-RctR-----0-0-0-0---Options None</v>
      </c>
      <c r="G53" s="88"/>
      <c r="H53" s="469" t="s">
        <v>82</v>
      </c>
      <c r="I53" s="470"/>
      <c r="J53" s="135" t="str">
        <f>(IF($C54&gt;0,(IF(240&gt;(MAX(C52-E52,E52-C52,B52-D52,D52-B52))/2*1.732,240,(MAX(C52-E52,E52-C52,B52-D52,D52-B52))/2*1.732)+30+30),""))</f>
        <v/>
      </c>
      <c r="O53" s="103">
        <f>A52</f>
        <v>0</v>
      </c>
      <c r="P53" s="104" t="s">
        <v>39</v>
      </c>
      <c r="Q53" s="104" t="s">
        <v>39</v>
      </c>
      <c r="R53" s="104" t="s">
        <v>40</v>
      </c>
      <c r="S53" s="104" t="s">
        <v>40</v>
      </c>
      <c r="T53" s="104" t="s">
        <v>40</v>
      </c>
      <c r="U53" s="105"/>
      <c r="V53" s="155" t="s">
        <v>27</v>
      </c>
      <c r="W53" s="155" t="s">
        <v>40</v>
      </c>
      <c r="X53" s="155" t="s">
        <v>41</v>
      </c>
      <c r="Y53" s="156" t="s">
        <v>87</v>
      </c>
      <c r="Z53" s="104" t="s">
        <v>88</v>
      </c>
      <c r="AA53" s="104"/>
      <c r="AC53" s="136" t="s">
        <v>87</v>
      </c>
      <c r="AD53" s="136" t="s">
        <v>88</v>
      </c>
      <c r="AE53" s="107"/>
      <c r="AF53" s="104" t="s">
        <v>40</v>
      </c>
      <c r="AG53" s="104" t="s">
        <v>41</v>
      </c>
      <c r="AH53" s="108"/>
      <c r="AI53" s="109"/>
      <c r="AK53" s="262" t="str">
        <f>informatieblad!$A$2</f>
        <v>FL20 loose</v>
      </c>
      <c r="AL53" s="263"/>
      <c r="AM53" s="262" t="str">
        <f>informatieblad!$A$3</f>
        <v>FL30 loose</v>
      </c>
      <c r="AN53" s="105"/>
      <c r="AO53" s="263" t="str">
        <f>informatieblad!$A$4</f>
        <v>FL40 loose</v>
      </c>
      <c r="AP53" s="105"/>
      <c r="AQ53" s="265"/>
      <c r="AR53" s="105"/>
      <c r="AT53" s="267"/>
      <c r="AV53" s="83" t="str">
        <f>'UC mounting materials '!$B$10</f>
        <v>Rail 30x15</v>
      </c>
      <c r="AW53" s="327">
        <f>IF(AA54&lt;1000,(AA54+100),0)*C54</f>
        <v>0</v>
      </c>
      <c r="AY53" s="265" t="s">
        <v>47</v>
      </c>
      <c r="AZ53" s="106" t="s">
        <v>48</v>
      </c>
      <c r="BA53" s="83" t="s">
        <v>23</v>
      </c>
      <c r="BB53" s="83" t="s">
        <v>23</v>
      </c>
      <c r="BC53" s="83" t="s">
        <v>23</v>
      </c>
      <c r="BD53" s="273" t="s">
        <v>23</v>
      </c>
    </row>
    <row r="54" spans="1:56" ht="15.75" customHeight="1" thickBot="1">
      <c r="A54" s="476"/>
      <c r="B54" s="137" t="s">
        <v>23</v>
      </c>
      <c r="C54" s="157"/>
      <c r="D54" s="139"/>
      <c r="E54" s="140">
        <f>C54*Q54</f>
        <v>0</v>
      </c>
      <c r="F54" s="141" t="s">
        <v>24</v>
      </c>
      <c r="G54" s="461" t="s">
        <v>25</v>
      </c>
      <c r="H54" s="473"/>
      <c r="I54" s="473"/>
      <c r="J54" s="474"/>
      <c r="O54" s="111"/>
      <c r="P54" s="112">
        <f>(((2*(Y54+Z54))*(J52))/1000000)</f>
        <v>0</v>
      </c>
      <c r="Q54" s="112">
        <f>((IF(P54&lt;=informatieblad!$I$13,informatieblad!$I$13,IF(P54&gt;=informatieblad!$I$13,P54))))</f>
        <v>0.5</v>
      </c>
      <c r="R54" s="158">
        <f>ROUND((((2*(Y54+Z54))*AB54)/1000000),2)</f>
        <v>0</v>
      </c>
      <c r="S54" s="158">
        <f>((IF(R54&lt;=informatieblad!$H$13,informatieblad!$H$13,IF(R54&gt;=informatieblad!$H$13,R54))))</f>
        <v>0</v>
      </c>
      <c r="T54" s="113">
        <f>((S54*AF54)+(S54*W54))*C54</f>
        <v>0</v>
      </c>
      <c r="U54" s="114">
        <f>((Q54*AG54)+(Q54*X54))*C54</f>
        <v>0</v>
      </c>
      <c r="V54" s="115" t="str">
        <f>G54</f>
        <v>Options None</v>
      </c>
      <c r="W54" s="115">
        <f>VLOOKUP(G54,informatieblad!$A$37:$D$41,2,FALSE)</f>
        <v>0</v>
      </c>
      <c r="X54" s="115">
        <f>VLOOKUP(G54,informatieblad!$A$37:$D$41,4,FALSE)</f>
        <v>0</v>
      </c>
      <c r="Y54" s="159">
        <f>(MAX(B52,D52))</f>
        <v>0</v>
      </c>
      <c r="Z54" s="160">
        <f>(MAX(C52,E52))</f>
        <v>0</v>
      </c>
      <c r="AA54" s="160">
        <f>(MAX(B52:E52))</f>
        <v>0</v>
      </c>
      <c r="AB54" s="161">
        <f>(MAX(AD54,AC54))</f>
        <v>0</v>
      </c>
      <c r="AC54" s="162">
        <f>ROUND((SQRT((((MAX(F52,G52))^2)+(J52^2)))),0)</f>
        <v>0</v>
      </c>
      <c r="AD54" s="163">
        <f>ROUND((SQRT((((MAX(H52,I52))^2)+(J52^2)))),0)</f>
        <v>0</v>
      </c>
      <c r="AE54" s="119">
        <f>LOOKUP(AA54,informatieblad!$C$27:$C$32,informatieblad!$A$27:$A$32)</f>
        <v>0.5</v>
      </c>
      <c r="AF54" s="118">
        <f>VLOOKUP(AE54,informatieblad!$A$27:$M$32,6,FALSE)</f>
        <v>0</v>
      </c>
      <c r="AG54" s="118">
        <f>VLOOKUP(AE54,informatieblad!$A$27:$M$32,8,FALSE)</f>
        <v>45.1248</v>
      </c>
      <c r="AH54" s="120">
        <f>VLOOKUP(AE54,informatieblad!$A$27:$M$32,13,FALSE)</f>
        <v>4</v>
      </c>
      <c r="AI54" s="121">
        <f>ROUND((AH54*S54),1)</f>
        <v>0</v>
      </c>
      <c r="AK54" s="111">
        <f>(IF(B53=AK52,((2*B52)+(2*C52)),IF(B53=AK53,((2*B52)+(2*C52)),0)))*C54</f>
        <v>0</v>
      </c>
      <c r="AL54" s="261">
        <f>(IF(D53=AK52,((2*D52)+(2*E52)),IF(D53=AK53,((2*D52)+(2*E52)),0)))*C54</f>
        <v>0</v>
      </c>
      <c r="AM54" s="111">
        <f>(IF(D53=AM52,((2*B52)+(2*C52)),IF(D53=AM53,((2*B52)+(2*C52)),0)))*C54</f>
        <v>0</v>
      </c>
      <c r="AN54" s="260">
        <f>(IF(D53=AM52,((2*D52)+(2*E52)),IF(D53=AM53,((2*D52)+(2*E52)),0)))*C54</f>
        <v>0</v>
      </c>
      <c r="AO54" s="261">
        <f>(IF(B53=AO52,((2*B52)+(2*C52)),IF(B53=AO53,((2*B52)+(2*C52)),0)))*C54</f>
        <v>0</v>
      </c>
      <c r="AP54" s="260">
        <f>(IF(D53=AO52,((2*D52)+(2*E52)),IF(D53=AO53,((2*D52)+(2*E52)),0)))*C54</f>
        <v>0</v>
      </c>
      <c r="AQ54" s="111">
        <f>(IF(B53=AQ52,((2*B52)+(2*C52)),0))*C54</f>
        <v>0</v>
      </c>
      <c r="AR54" s="260">
        <f>(IF(D53=AQ52,((2*D52)+(2*E52)),0))*C54</f>
        <v>0</v>
      </c>
      <c r="AS54" s="72"/>
      <c r="AT54" s="268">
        <f>J52*C54</f>
        <v>0</v>
      </c>
      <c r="AV54" s="83" t="str">
        <f>'UC mounting materials '!$B$11</f>
        <v>Rail 41x41</v>
      </c>
      <c r="AW54" s="268">
        <f>IF(AA54&gt;999,(AA54+100),0)*C54</f>
        <v>0</v>
      </c>
      <c r="AY54" s="111" t="str">
        <f>IF(B53=informatieblad!$A$6,informatieblad!$B$6,IF(B53=informatieblad!$A$7,informatieblad!$B$7,IF(B53=informatieblad!$A$8,informatieblad!$B$8,IF(B53=informatieblad!$A$2,informatieblad!$B$2,IF(B53=informatieblad!$A$3,informatieblad!$B$3,IF(B53=informatieblad!$A$4,informatieblad!$B$4,IF(B53=informatieblad!$A$5,informatieblad!$B$5,"")))))))</f>
        <v/>
      </c>
      <c r="AZ54" s="275" t="str">
        <f>IF(D53=informatieblad!$A$6,informatieblad!$B$6,IF(D53=informatieblad!$A$7,informatieblad!$B$7,IF(D53=informatieblad!$A$8,informatieblad!$B$8,IF(D53=informatieblad!$A$2,informatieblad!$B$2,IF(D53=informatieblad!$A$3,informatieblad!$B$3,IF(D53=informatieblad!$A$4,informatieblad!$B$4,IF(D53=informatieblad!$A$5,informatieblad!$B$5,"")))))))</f>
        <v/>
      </c>
      <c r="BA54" s="276">
        <f>IF(AY54=BA52,(4*C54),0)</f>
        <v>0</v>
      </c>
      <c r="BB54" s="276">
        <f>IF(AZ54=BA52,(4*C54),0)</f>
        <v>0</v>
      </c>
      <c r="BC54" s="276">
        <f>IF(AY54=BC52,(4*C54),0)</f>
        <v>0</v>
      </c>
      <c r="BD54" s="274">
        <f>IF(AZ54=BC52,(4*C54),0)</f>
        <v>0</v>
      </c>
    </row>
    <row r="55" spans="1:56" ht="5.0999999999999996" customHeight="1" thickBot="1">
      <c r="A55" s="145"/>
      <c r="B55" s="122"/>
      <c r="C55" s="122"/>
      <c r="D55" s="122"/>
      <c r="E55" s="122"/>
      <c r="F55" s="122"/>
      <c r="G55" s="122"/>
      <c r="H55" s="122"/>
      <c r="I55" s="122"/>
      <c r="J55" s="146"/>
      <c r="AY55" s="61"/>
      <c r="AZ55" s="62"/>
      <c r="BA55" s="62"/>
      <c r="BB55" s="62"/>
      <c r="BC55" s="62"/>
      <c r="BD55" s="63"/>
    </row>
    <row r="56" spans="1:56" ht="15.75" customHeight="1" thickBot="1">
      <c r="A56" s="445"/>
      <c r="B56" s="147"/>
      <c r="C56" s="147"/>
      <c r="D56" s="147"/>
      <c r="E56" s="147"/>
      <c r="F56" s="147">
        <f>(B56-D56)/2</f>
        <v>0</v>
      </c>
      <c r="G56" s="148">
        <f>(B56-D56)-F56</f>
        <v>0</v>
      </c>
      <c r="H56" s="149">
        <f>(C56-E56)/2</f>
        <v>0</v>
      </c>
      <c r="I56" s="150">
        <f>(C56-E56)-H56</f>
        <v>0</v>
      </c>
      <c r="J56" s="151"/>
      <c r="K56" s="345" t="s">
        <v>20</v>
      </c>
      <c r="O56" s="97" t="s">
        <v>14</v>
      </c>
      <c r="P56" s="98" t="s">
        <v>27</v>
      </c>
      <c r="Q56" s="98" t="s">
        <v>28</v>
      </c>
      <c r="R56" s="98" t="s">
        <v>27</v>
      </c>
      <c r="S56" s="98" t="s">
        <v>28</v>
      </c>
      <c r="T56" s="98" t="s">
        <v>29</v>
      </c>
      <c r="U56" s="66" t="s">
        <v>30</v>
      </c>
      <c r="V56" s="153" t="s">
        <v>31</v>
      </c>
      <c r="W56" s="153"/>
      <c r="X56" s="153"/>
      <c r="Y56" s="154" t="s">
        <v>83</v>
      </c>
      <c r="Z56" s="100" t="s">
        <v>83</v>
      </c>
      <c r="AA56" s="100" t="s">
        <v>83</v>
      </c>
      <c r="AB56" s="98" t="s">
        <v>84</v>
      </c>
      <c r="AC56" s="98" t="s">
        <v>89</v>
      </c>
      <c r="AD56" s="100" t="s">
        <v>90</v>
      </c>
      <c r="AE56" s="100" t="s">
        <v>34</v>
      </c>
      <c r="AF56" s="98" t="s">
        <v>32</v>
      </c>
      <c r="AG56" s="98" t="s">
        <v>32</v>
      </c>
      <c r="AH56" s="98" t="s">
        <v>49</v>
      </c>
      <c r="AI56" s="101" t="s">
        <v>36</v>
      </c>
      <c r="AK56" s="97" t="str">
        <f>informatieblad!$A$6</f>
        <v>FL20</v>
      </c>
      <c r="AL56" s="99"/>
      <c r="AM56" s="97" t="str">
        <f>informatieblad!$A$7</f>
        <v>FL30</v>
      </c>
      <c r="AN56" s="66"/>
      <c r="AO56" s="99" t="str">
        <f>informatieblad!$A$8</f>
        <v>FL40</v>
      </c>
      <c r="AP56" s="66"/>
      <c r="AQ56" s="97" t="str">
        <f>informatieblad!$A$5</f>
        <v>none</v>
      </c>
      <c r="AR56" s="264"/>
      <c r="AS56" s="62"/>
      <c r="AT56" s="266" t="s">
        <v>17</v>
      </c>
      <c r="AW56" s="266" t="s">
        <v>37</v>
      </c>
      <c r="AY56" s="269" t="s">
        <v>38</v>
      </c>
      <c r="AZ56" s="272"/>
      <c r="BA56" s="272">
        <f>informatieblad!$B$3</f>
        <v>0</v>
      </c>
      <c r="BB56" s="272">
        <f>informatieblad!$B$3</f>
        <v>0</v>
      </c>
      <c r="BC56" s="272">
        <f>informatieblad!$B$4</f>
        <v>0</v>
      </c>
      <c r="BD56" s="264">
        <f>informatieblad!$B$4</f>
        <v>0</v>
      </c>
    </row>
    <row r="57" spans="1:56" ht="15.75" customHeight="1">
      <c r="A57" s="446"/>
      <c r="B57" s="471" t="str">
        <f>IF($C58&gt;0,IF(MAX(B56:C56)&lt;informatieblad!$Q$4,informatieblad!$P$3,IF(MAX(B56:C56)&gt;informatieblad!$R$4,informatieblad!$P$5,informatieblad!$P$4)),"")</f>
        <v/>
      </c>
      <c r="C57" s="472"/>
      <c r="D57" s="471" t="str">
        <f>IF($C58&gt;0,IF(MAX(D56:E56)&lt;informatieblad!$Q$4,informatieblad!$P$3,IF(MAX(D56:E56)&gt;informatieblad!$R$4,informatieblad!$P$5,informatieblad!$P$4)),"")</f>
        <v/>
      </c>
      <c r="E57" s="472"/>
      <c r="F57" s="134" t="str">
        <f>A56&amp;"-"&amp;informatieblad!$B$13&amp;"-"&amp;B56&amp;"-"&amp;C56&amp;"-"&amp;D56&amp;"-"&amp;E56&amp;"-"&amp;F56&amp;"-"&amp;G56&amp;"-"&amp;H56&amp;"-"&amp;I56&amp;"-"&amp;J56&amp;"-"&amp;B57&amp;"-"&amp;G58</f>
        <v>-RctR-----0-0-0-0---Options None</v>
      </c>
      <c r="G57" s="88"/>
      <c r="H57" s="469" t="s">
        <v>82</v>
      </c>
      <c r="I57" s="470"/>
      <c r="J57" s="135" t="str">
        <f>(IF($C58&gt;0,(IF(240&gt;(MAX(C56-E56,E56-C56,B56-D56,D56-B56))/2*1.732,240,(MAX(C56-E56,E56-C56,B56-D56,D56-B56))/2*1.732)+30+30),""))</f>
        <v/>
      </c>
      <c r="O57" s="103">
        <f>A56</f>
        <v>0</v>
      </c>
      <c r="P57" s="104" t="s">
        <v>39</v>
      </c>
      <c r="Q57" s="104" t="s">
        <v>39</v>
      </c>
      <c r="R57" s="104" t="s">
        <v>40</v>
      </c>
      <c r="S57" s="104" t="s">
        <v>40</v>
      </c>
      <c r="T57" s="104" t="s">
        <v>40</v>
      </c>
      <c r="U57" s="105"/>
      <c r="V57" s="155" t="s">
        <v>27</v>
      </c>
      <c r="W57" s="155" t="s">
        <v>40</v>
      </c>
      <c r="X57" s="155" t="s">
        <v>41</v>
      </c>
      <c r="Y57" s="156" t="s">
        <v>91</v>
      </c>
      <c r="Z57" s="104" t="s">
        <v>92</v>
      </c>
      <c r="AA57" s="104"/>
      <c r="AC57" s="136" t="s">
        <v>91</v>
      </c>
      <c r="AD57" s="136" t="s">
        <v>92</v>
      </c>
      <c r="AE57" s="107"/>
      <c r="AF57" s="104" t="s">
        <v>40</v>
      </c>
      <c r="AG57" s="104" t="s">
        <v>41</v>
      </c>
      <c r="AH57" s="108"/>
      <c r="AI57" s="109"/>
      <c r="AK57" s="262" t="str">
        <f>informatieblad!$A$2</f>
        <v>FL20 loose</v>
      </c>
      <c r="AL57" s="263"/>
      <c r="AM57" s="262" t="str">
        <f>informatieblad!$A$3</f>
        <v>FL30 loose</v>
      </c>
      <c r="AN57" s="105"/>
      <c r="AO57" s="263" t="str">
        <f>informatieblad!$A$4</f>
        <v>FL40 loose</v>
      </c>
      <c r="AP57" s="105"/>
      <c r="AQ57" s="265"/>
      <c r="AR57" s="105"/>
      <c r="AT57" s="267"/>
      <c r="AV57" s="83" t="str">
        <f>'UC mounting materials '!$B$10</f>
        <v>Rail 30x15</v>
      </c>
      <c r="AW57" s="327">
        <f>IF(AA58&lt;1000,(AA58+100),0)*C58</f>
        <v>0</v>
      </c>
      <c r="AY57" s="265" t="s">
        <v>47</v>
      </c>
      <c r="AZ57" s="106" t="s">
        <v>48</v>
      </c>
      <c r="BA57" s="83" t="s">
        <v>23</v>
      </c>
      <c r="BB57" s="83" t="s">
        <v>23</v>
      </c>
      <c r="BC57" s="83" t="s">
        <v>23</v>
      </c>
      <c r="BD57" s="273" t="s">
        <v>23</v>
      </c>
    </row>
    <row r="58" spans="1:56" ht="15.75" customHeight="1" thickBot="1">
      <c r="A58" s="476"/>
      <c r="B58" s="137" t="s">
        <v>23</v>
      </c>
      <c r="C58" s="157"/>
      <c r="D58" s="139"/>
      <c r="E58" s="140">
        <f>C58*Q58</f>
        <v>0</v>
      </c>
      <c r="F58" s="141" t="s">
        <v>24</v>
      </c>
      <c r="G58" s="461" t="s">
        <v>25</v>
      </c>
      <c r="H58" s="473"/>
      <c r="I58" s="473"/>
      <c r="J58" s="474"/>
      <c r="O58" s="111"/>
      <c r="P58" s="112">
        <f>(((2*(Y58+Z58))*(J56))/1000000)</f>
        <v>0</v>
      </c>
      <c r="Q58" s="112">
        <f>((IF(P58&lt;=informatieblad!$I$13,informatieblad!$I$13,IF(P58&gt;=informatieblad!$I$13,P58))))</f>
        <v>0.5</v>
      </c>
      <c r="R58" s="158">
        <f>ROUND((((2*(Y58+Z58))*AB58)/1000000),2)</f>
        <v>0</v>
      </c>
      <c r="S58" s="158">
        <f>((IF(R58&lt;=informatieblad!$H$13,informatieblad!$H$13,IF(R58&gt;=informatieblad!$H$13,R58))))</f>
        <v>0</v>
      </c>
      <c r="T58" s="113">
        <f>((S58*AF58)+(S58*W58))*C58</f>
        <v>0</v>
      </c>
      <c r="U58" s="114">
        <f>((Q58*AG58)+(Q58*X58))*C58</f>
        <v>0</v>
      </c>
      <c r="V58" s="115" t="str">
        <f>G58</f>
        <v>Options None</v>
      </c>
      <c r="W58" s="115">
        <f>VLOOKUP(G58,informatieblad!$A$37:$D$41,2,FALSE)</f>
        <v>0</v>
      </c>
      <c r="X58" s="115">
        <f>VLOOKUP(G58,informatieblad!$A$37:$D$41,4,FALSE)</f>
        <v>0</v>
      </c>
      <c r="Y58" s="159">
        <f>(MAX(B56,D56))</f>
        <v>0</v>
      </c>
      <c r="Z58" s="160">
        <f>(MAX(C56,E56))</f>
        <v>0</v>
      </c>
      <c r="AA58" s="160">
        <f>(MAX(B56:E56))</f>
        <v>0</v>
      </c>
      <c r="AB58" s="161">
        <f>(MAX(AD58,AC58))</f>
        <v>0</v>
      </c>
      <c r="AC58" s="162">
        <f>ROUND((SQRT((((MAX(F56,G56))^2)+(J56^2)))),0)</f>
        <v>0</v>
      </c>
      <c r="AD58" s="163">
        <f>ROUND((SQRT((((MAX(H56,I56))^2)+(J56^2)))),0)</f>
        <v>0</v>
      </c>
      <c r="AE58" s="119">
        <f>LOOKUP(AA58,informatieblad!$C$27:$C$32,informatieblad!$A$27:$A$32)</f>
        <v>0.5</v>
      </c>
      <c r="AF58" s="118">
        <f>VLOOKUP(AE58,informatieblad!$A$27:$M$32,6,FALSE)</f>
        <v>0</v>
      </c>
      <c r="AG58" s="118">
        <f>VLOOKUP(AE58,informatieblad!$A$27:$M$32,8,FALSE)</f>
        <v>45.1248</v>
      </c>
      <c r="AH58" s="120">
        <f>VLOOKUP(AE58,informatieblad!$A$27:$M$32,13,FALSE)</f>
        <v>4</v>
      </c>
      <c r="AI58" s="121">
        <f>ROUND((AH58*S58),1)</f>
        <v>0</v>
      </c>
      <c r="AK58" s="111">
        <f>(IF(B57=AK56,((2*B56)+(2*C56)),IF(B57=AK57,((2*B56)+(2*C56)),0)))*C58</f>
        <v>0</v>
      </c>
      <c r="AL58" s="261">
        <f>(IF(D57=AK56,((2*D56)+(2*E56)),IF(D57=AK57,((2*D56)+(2*E56)),0)))*C58</f>
        <v>0</v>
      </c>
      <c r="AM58" s="111">
        <f>(IF(D57=AM56,((2*B56)+(2*C56)),IF(D57=AM57,((2*B56)+(2*C56)),0)))*C58</f>
        <v>0</v>
      </c>
      <c r="AN58" s="260">
        <f>(IF(D57=AM56,((2*D56)+(2*E56)),IF(D57=AM57,((2*D56)+(2*E56)),0)))*C58</f>
        <v>0</v>
      </c>
      <c r="AO58" s="261">
        <f>(IF(B57=AO56,((2*B56)+(2*C56)),IF(B57=AO57,((2*B56)+(2*C56)),0)))*C58</f>
        <v>0</v>
      </c>
      <c r="AP58" s="260">
        <f>(IF(D57=AO56,((2*D56)+(2*E56)),IF(D57=AO57,((2*D56)+(2*E56)),0)))*C58</f>
        <v>0</v>
      </c>
      <c r="AQ58" s="111">
        <f>(IF(B57=AQ56,((2*B56)+(2*C56)),0))*C58</f>
        <v>0</v>
      </c>
      <c r="AR58" s="260">
        <f>(IF(D57=AQ56,((2*D56)+(2*E56)),0))*C58</f>
        <v>0</v>
      </c>
      <c r="AS58" s="72"/>
      <c r="AT58" s="268">
        <f>J56*C58</f>
        <v>0</v>
      </c>
      <c r="AV58" s="83" t="str">
        <f>'UC mounting materials '!$B$11</f>
        <v>Rail 41x41</v>
      </c>
      <c r="AW58" s="268">
        <f>IF(AA58&gt;999,(AA58+100),0)*C58</f>
        <v>0</v>
      </c>
      <c r="AY58" s="111" t="str">
        <f>IF(B57=informatieblad!$A$6,informatieblad!$B$6,IF(B57=informatieblad!$A$7,informatieblad!$B$7,IF(B57=informatieblad!$A$8,informatieblad!$B$8,IF(B57=informatieblad!$A$2,informatieblad!$B$2,IF(B57=informatieblad!$A$3,informatieblad!$B$3,IF(B57=informatieblad!$A$4,informatieblad!$B$4,IF(B57=informatieblad!$A$5,informatieblad!$B$5,"")))))))</f>
        <v/>
      </c>
      <c r="AZ58" s="275" t="str">
        <f>IF(D57=informatieblad!$A$6,informatieblad!$B$6,IF(D57=informatieblad!$A$7,informatieblad!$B$7,IF(D57=informatieblad!$A$8,informatieblad!$B$8,IF(D57=informatieblad!$A$2,informatieblad!$B$2,IF(D57=informatieblad!$A$3,informatieblad!$B$3,IF(D57=informatieblad!$A$4,informatieblad!$B$4,IF(D57=informatieblad!$A$5,informatieblad!$B$5,"")))))))</f>
        <v/>
      </c>
      <c r="BA58" s="276">
        <f>IF(AY58=BA56,(4*C58),0)</f>
        <v>0</v>
      </c>
      <c r="BB58" s="276">
        <f>IF(AZ58=BA56,(4*C58),0)</f>
        <v>0</v>
      </c>
      <c r="BC58" s="276">
        <f>IF(AY58=BC56,(4*C58),0)</f>
        <v>0</v>
      </c>
      <c r="BD58" s="274">
        <f>IF(AZ58=BC56,(4*C58),0)</f>
        <v>0</v>
      </c>
    </row>
    <row r="59" spans="1:56" ht="5.0999999999999996" customHeight="1" thickBot="1">
      <c r="A59" s="145"/>
      <c r="B59" s="122"/>
      <c r="C59" s="122"/>
      <c r="D59" s="122"/>
      <c r="E59" s="122"/>
      <c r="F59" s="122"/>
      <c r="G59" s="122"/>
      <c r="H59" s="122"/>
      <c r="I59" s="122"/>
      <c r="J59" s="146"/>
    </row>
    <row r="60" spans="1:56" ht="15.75" customHeight="1" thickBot="1">
      <c r="A60" s="445"/>
      <c r="B60" s="147"/>
      <c r="C60" s="147"/>
      <c r="D60" s="147"/>
      <c r="E60" s="147"/>
      <c r="F60" s="147">
        <f>(B60-D60)/2</f>
        <v>0</v>
      </c>
      <c r="G60" s="148">
        <f>(B60-D60)-F60</f>
        <v>0</v>
      </c>
      <c r="H60" s="149">
        <f>(C60-E60)/2</f>
        <v>0</v>
      </c>
      <c r="I60" s="150">
        <f>(C60-E60)-H60</f>
        <v>0</v>
      </c>
      <c r="J60" s="151"/>
      <c r="K60" s="345" t="s">
        <v>20</v>
      </c>
      <c r="L60" s="152"/>
      <c r="O60" s="97" t="s">
        <v>14</v>
      </c>
      <c r="P60" s="98" t="s">
        <v>27</v>
      </c>
      <c r="Q60" s="98" t="s">
        <v>28</v>
      </c>
      <c r="R60" s="98" t="s">
        <v>27</v>
      </c>
      <c r="S60" s="98" t="s">
        <v>28</v>
      </c>
      <c r="T60" s="98" t="s">
        <v>29</v>
      </c>
      <c r="U60" s="66" t="s">
        <v>30</v>
      </c>
      <c r="V60" s="153" t="s">
        <v>31</v>
      </c>
      <c r="W60" s="153"/>
      <c r="X60" s="153"/>
      <c r="Y60" s="154" t="s">
        <v>83</v>
      </c>
      <c r="Z60" s="100" t="s">
        <v>83</v>
      </c>
      <c r="AA60" s="100" t="s">
        <v>83</v>
      </c>
      <c r="AB60" s="98" t="s">
        <v>84</v>
      </c>
      <c r="AC60" s="98" t="s">
        <v>89</v>
      </c>
      <c r="AD60" s="100" t="s">
        <v>90</v>
      </c>
      <c r="AE60" s="100" t="s">
        <v>34</v>
      </c>
      <c r="AF60" s="98" t="s">
        <v>32</v>
      </c>
      <c r="AG60" s="98" t="s">
        <v>32</v>
      </c>
      <c r="AH60" s="98" t="s">
        <v>49</v>
      </c>
      <c r="AI60" s="101" t="s">
        <v>36</v>
      </c>
      <c r="AK60" s="97" t="str">
        <f>informatieblad!$A$6</f>
        <v>FL20</v>
      </c>
      <c r="AL60" s="99"/>
      <c r="AM60" s="97" t="str">
        <f>informatieblad!$A$7</f>
        <v>FL30</v>
      </c>
      <c r="AN60" s="66"/>
      <c r="AO60" s="99" t="str">
        <f>informatieblad!$A$8</f>
        <v>FL40</v>
      </c>
      <c r="AP60" s="66"/>
      <c r="AQ60" s="97" t="str">
        <f>informatieblad!$A$5</f>
        <v>none</v>
      </c>
      <c r="AR60" s="264"/>
      <c r="AT60" s="266" t="s">
        <v>17</v>
      </c>
      <c r="AW60" s="266" t="s">
        <v>37</v>
      </c>
      <c r="AY60" s="269" t="s">
        <v>38</v>
      </c>
      <c r="AZ60" s="272"/>
      <c r="BA60" s="272">
        <f>informatieblad!$B$3</f>
        <v>0</v>
      </c>
      <c r="BB60" s="272">
        <f>informatieblad!$B$3</f>
        <v>0</v>
      </c>
      <c r="BC60" s="272">
        <f>informatieblad!$B$4</f>
        <v>0</v>
      </c>
      <c r="BD60" s="264">
        <f>informatieblad!$B$4</f>
        <v>0</v>
      </c>
    </row>
    <row r="61" spans="1:56" ht="15.75" customHeight="1">
      <c r="A61" s="467"/>
      <c r="B61" s="471" t="str">
        <f>IF($C62&gt;0,IF(MAX(B60:C60)&lt;informatieblad!$Q$4,informatieblad!$P$3,IF(MAX(B60:C60)&gt;informatieblad!$R$4,informatieblad!$P$5,informatieblad!$P$4)),"")</f>
        <v/>
      </c>
      <c r="C61" s="472"/>
      <c r="D61" s="471" t="str">
        <f>IF($C62&gt;0,IF(MAX(D60:E60)&lt;informatieblad!$Q$4,informatieblad!$P$3,IF(MAX(D60:E60)&gt;informatieblad!$R$4,informatieblad!$P$5,informatieblad!$P$4)),"")</f>
        <v/>
      </c>
      <c r="E61" s="472"/>
      <c r="F61" s="134" t="str">
        <f>A60&amp;"-"&amp;informatieblad!$B$13&amp;"-"&amp;B60&amp;"-"&amp;C60&amp;"-"&amp;D60&amp;"-"&amp;E60&amp;"-"&amp;F60&amp;"-"&amp;G60&amp;"-"&amp;H60&amp;"-"&amp;I60&amp;"-"&amp;J60&amp;"-"&amp;B61&amp;"-"&amp;G62</f>
        <v>-RctR-----0-0-0-0---Options None</v>
      </c>
      <c r="G61" s="88"/>
      <c r="H61" s="469" t="s">
        <v>82</v>
      </c>
      <c r="I61" s="470"/>
      <c r="J61" s="135" t="str">
        <f>(IF($C62&gt;0,(IF(240&gt;(MAX(C60-E60,E60-C60,B60-D60,D60-B60))/2*1.732,240,(MAX(C60-E60,E60-C60,B60-D60,D60-B60))/2*1.732)+30+30),""))</f>
        <v/>
      </c>
      <c r="O61" s="103">
        <f>A60</f>
        <v>0</v>
      </c>
      <c r="P61" s="104" t="s">
        <v>39</v>
      </c>
      <c r="Q61" s="104" t="s">
        <v>39</v>
      </c>
      <c r="R61" s="104" t="s">
        <v>40</v>
      </c>
      <c r="S61" s="104" t="s">
        <v>40</v>
      </c>
      <c r="T61" s="104" t="s">
        <v>40</v>
      </c>
      <c r="U61" s="105"/>
      <c r="V61" s="155" t="s">
        <v>27</v>
      </c>
      <c r="W61" s="155" t="s">
        <v>40</v>
      </c>
      <c r="X61" s="155" t="s">
        <v>41</v>
      </c>
      <c r="Y61" s="156" t="s">
        <v>91</v>
      </c>
      <c r="Z61" s="104" t="s">
        <v>92</v>
      </c>
      <c r="AA61" s="104"/>
      <c r="AC61" s="136" t="s">
        <v>91</v>
      </c>
      <c r="AD61" s="136" t="s">
        <v>92</v>
      </c>
      <c r="AE61" s="107"/>
      <c r="AF61" s="104" t="s">
        <v>40</v>
      </c>
      <c r="AG61" s="104" t="s">
        <v>41</v>
      </c>
      <c r="AH61" s="108"/>
      <c r="AI61" s="109"/>
      <c r="AK61" s="262" t="str">
        <f>informatieblad!$A$2</f>
        <v>FL20 loose</v>
      </c>
      <c r="AL61" s="263"/>
      <c r="AM61" s="262" t="str">
        <f>informatieblad!$A$3</f>
        <v>FL30 loose</v>
      </c>
      <c r="AN61" s="105"/>
      <c r="AO61" s="263" t="str">
        <f>informatieblad!$A$4</f>
        <v>FL40 loose</v>
      </c>
      <c r="AP61" s="105"/>
      <c r="AQ61" s="265"/>
      <c r="AR61" s="105"/>
      <c r="AT61" s="267"/>
      <c r="AV61" s="83" t="str">
        <f>'UC mounting materials '!$B$10</f>
        <v>Rail 30x15</v>
      </c>
      <c r="AW61" s="327">
        <f>IF(AA62&lt;1000,(AA62+100),0)*C62</f>
        <v>0</v>
      </c>
      <c r="AY61" s="265" t="s">
        <v>47</v>
      </c>
      <c r="AZ61" s="106" t="s">
        <v>48</v>
      </c>
      <c r="BA61" s="83" t="s">
        <v>23</v>
      </c>
      <c r="BB61" s="83" t="s">
        <v>23</v>
      </c>
      <c r="BC61" s="83" t="s">
        <v>23</v>
      </c>
      <c r="BD61" s="273" t="s">
        <v>23</v>
      </c>
    </row>
    <row r="62" spans="1:56" ht="15.75" customHeight="1" thickBot="1">
      <c r="A62" s="468"/>
      <c r="B62" s="137" t="s">
        <v>23</v>
      </c>
      <c r="C62" s="157"/>
      <c r="D62" s="139"/>
      <c r="E62" s="140">
        <f>C62*Q62</f>
        <v>0</v>
      </c>
      <c r="F62" s="141" t="s">
        <v>24</v>
      </c>
      <c r="G62" s="461" t="s">
        <v>25</v>
      </c>
      <c r="H62" s="473"/>
      <c r="I62" s="473"/>
      <c r="J62" s="474"/>
      <c r="O62" s="111"/>
      <c r="P62" s="112">
        <f>(((2*(Y62+Z62))*(J60))/1000000)</f>
        <v>0</v>
      </c>
      <c r="Q62" s="112">
        <f>((IF(P62&lt;=informatieblad!$I$13,informatieblad!$I$13,IF(P62&gt;=informatieblad!$I$13,P62))))</f>
        <v>0.5</v>
      </c>
      <c r="R62" s="158">
        <f>ROUND((((2*(Y62+Z62))*AB62)/1000000),2)</f>
        <v>0</v>
      </c>
      <c r="S62" s="112">
        <f>((IF(R62&lt;=informatieblad!$H$13,informatieblad!$H$13,IF(R62&gt;=informatieblad!$H$13,R62))))</f>
        <v>0</v>
      </c>
      <c r="T62" s="113">
        <f>((S62*AF62)+(S62*W62))*C62</f>
        <v>0</v>
      </c>
      <c r="U62" s="114">
        <f>((Q62*AG62)+(Q62*X62))*C62</f>
        <v>0</v>
      </c>
      <c r="V62" s="115" t="str">
        <f>G62</f>
        <v>Options None</v>
      </c>
      <c r="W62" s="115">
        <f>VLOOKUP(G62,informatieblad!$A$37:$D$41,2,FALSE)</f>
        <v>0</v>
      </c>
      <c r="X62" s="115">
        <f>VLOOKUP(G62,informatieblad!$A$37:$D$41,4,FALSE)</f>
        <v>0</v>
      </c>
      <c r="Y62" s="159">
        <f>(MAX(B60,D60))</f>
        <v>0</v>
      </c>
      <c r="Z62" s="160">
        <f>(MAX(C60,E60))</f>
        <v>0</v>
      </c>
      <c r="AA62" s="160">
        <f>(MAX(B60:E60))</f>
        <v>0</v>
      </c>
      <c r="AB62" s="161">
        <f>(MAX(AD62,AC62))</f>
        <v>0</v>
      </c>
      <c r="AC62" s="162">
        <f>ROUND((SQRT((((MAX(F60,G60))^2)+(J60^2)))),0)</f>
        <v>0</v>
      </c>
      <c r="AD62" s="163">
        <f>ROUND((SQRT((((MAX(H60,I60))^2)+(J60^2)))),0)</f>
        <v>0</v>
      </c>
      <c r="AE62" s="119">
        <f>LOOKUP(AA62,informatieblad!$C$27:$C$32,informatieblad!$A$27:$A$32)</f>
        <v>0.5</v>
      </c>
      <c r="AF62" s="118">
        <f>VLOOKUP(AE62,informatieblad!$A$27:$M$32,6,FALSE)</f>
        <v>0</v>
      </c>
      <c r="AG62" s="118">
        <f>VLOOKUP(AE62,informatieblad!$A$27:$M$32,8,FALSE)</f>
        <v>45.1248</v>
      </c>
      <c r="AH62" s="120">
        <f>VLOOKUP(AE62,informatieblad!$A$27:$M$32,13,FALSE)</f>
        <v>4</v>
      </c>
      <c r="AI62" s="121">
        <f>ROUND((AH62*S62),1)</f>
        <v>0</v>
      </c>
      <c r="AK62" s="111">
        <f>(IF(B61=AK60,((2*B60)+(2*C60)),IF(B61=AK61,((2*B60)+(2*C60)),0)))*C62</f>
        <v>0</v>
      </c>
      <c r="AL62" s="261">
        <f>(IF(D61=AK60,((2*D60)+(2*E60)),IF(D61=AK61,((2*D60)+(2*E60)),0)))*C62</f>
        <v>0</v>
      </c>
      <c r="AM62" s="111">
        <f>(IF(D61=AM60,((2*B60)+(2*C60)),IF(D61=AM61,((2*B60)+(2*C60)),0)))*C62</f>
        <v>0</v>
      </c>
      <c r="AN62" s="260">
        <f>(IF(D61=AM60,((2*D60)+(2*E60)),IF(D61=AM61,((2*D60)+(2*E60)),0)))*C62</f>
        <v>0</v>
      </c>
      <c r="AO62" s="261">
        <f>(IF(B61=AO60,((2*B60)+(2*C60)),IF(B61=AO61,((2*B60)+(2*C60)),0)))*C62</f>
        <v>0</v>
      </c>
      <c r="AP62" s="260">
        <f>(IF(D61=AO60,((2*D60)+(2*E60)),IF(D61=AO61,((2*D60)+(2*E60)),0)))*C62</f>
        <v>0</v>
      </c>
      <c r="AQ62" s="111">
        <f>(IF(B61=AQ60,((2*B60)+(2*C60)),0))*C62</f>
        <v>0</v>
      </c>
      <c r="AR62" s="260">
        <f>(IF(D61=AQ60,((2*D60)+(2*E60)),0))*C62</f>
        <v>0</v>
      </c>
      <c r="AT62" s="268">
        <f>J60*C62</f>
        <v>0</v>
      </c>
      <c r="AV62" s="83" t="str">
        <f>'UC mounting materials '!$B$11</f>
        <v>Rail 41x41</v>
      </c>
      <c r="AW62" s="268">
        <f>IF(AA62&gt;999,(AA62+100),0)*C62</f>
        <v>0</v>
      </c>
      <c r="AY62" s="111" t="str">
        <f>IF(B61=informatieblad!$A$6,informatieblad!$B$6,IF(B61=informatieblad!$A$7,informatieblad!$B$7,IF(B61=informatieblad!$A$8,informatieblad!$B$8,IF(B61=informatieblad!$A$2,informatieblad!$B$2,IF(B61=informatieblad!$A$3,informatieblad!$B$3,IF(B61=informatieblad!$A$4,informatieblad!$B$4,IF(B61=informatieblad!$A$5,informatieblad!$B$5,"")))))))</f>
        <v/>
      </c>
      <c r="AZ62" s="275" t="str">
        <f>IF(D61=informatieblad!$A$6,informatieblad!$B$6,IF(D61=informatieblad!$A$7,informatieblad!$B$7,IF(D61=informatieblad!$A$8,informatieblad!$B$8,IF(D61=informatieblad!$A$2,informatieblad!$B$2,IF(D61=informatieblad!$A$3,informatieblad!$B$3,IF(D61=informatieblad!$A$4,informatieblad!$B$4,IF(D61=informatieblad!$A$5,informatieblad!$B$5,"")))))))</f>
        <v/>
      </c>
      <c r="BA62" s="276">
        <f>IF(AY62=BA60,(4*C62),0)</f>
        <v>0</v>
      </c>
      <c r="BB62" s="276">
        <f>IF(AZ62=BA60,(4*C62),0)</f>
        <v>0</v>
      </c>
      <c r="BC62" s="276">
        <f>IF(AY62=BC60,(4*C62),0)</f>
        <v>0</v>
      </c>
      <c r="BD62" s="274">
        <f>IF(AZ62=BC60,(4*C62),0)</f>
        <v>0</v>
      </c>
    </row>
    <row r="63" spans="1:56" ht="5.0999999999999996" customHeight="1" thickBot="1">
      <c r="A63" s="145"/>
      <c r="B63" s="122"/>
      <c r="C63" s="122"/>
      <c r="D63" s="122"/>
      <c r="E63" s="122"/>
      <c r="F63" s="122"/>
      <c r="G63" s="122"/>
      <c r="H63" s="122"/>
      <c r="I63" s="122"/>
      <c r="J63" s="146"/>
    </row>
    <row r="64" spans="1:56" ht="15.75" customHeight="1" thickBot="1">
      <c r="A64" s="445"/>
      <c r="B64" s="147"/>
      <c r="C64" s="147"/>
      <c r="D64" s="147"/>
      <c r="E64" s="147"/>
      <c r="F64" s="147">
        <f>(B64-D64)/2</f>
        <v>0</v>
      </c>
      <c r="G64" s="148">
        <f>(B64-D64)-F64</f>
        <v>0</v>
      </c>
      <c r="H64" s="149">
        <f>(C64-E64)/2</f>
        <v>0</v>
      </c>
      <c r="I64" s="150">
        <f>(C64-E64)-H64</f>
        <v>0</v>
      </c>
      <c r="J64" s="151"/>
      <c r="K64" s="345" t="s">
        <v>20</v>
      </c>
      <c r="O64" s="97" t="s">
        <v>14</v>
      </c>
      <c r="P64" s="98" t="s">
        <v>27</v>
      </c>
      <c r="Q64" s="98" t="s">
        <v>28</v>
      </c>
      <c r="R64" s="98" t="s">
        <v>27</v>
      </c>
      <c r="S64" s="98" t="s">
        <v>28</v>
      </c>
      <c r="T64" s="98" t="s">
        <v>29</v>
      </c>
      <c r="U64" s="66" t="s">
        <v>30</v>
      </c>
      <c r="V64" s="153" t="s">
        <v>31</v>
      </c>
      <c r="W64" s="153"/>
      <c r="X64" s="153"/>
      <c r="Y64" s="154" t="s">
        <v>83</v>
      </c>
      <c r="Z64" s="100" t="s">
        <v>83</v>
      </c>
      <c r="AA64" s="100" t="s">
        <v>83</v>
      </c>
      <c r="AB64" s="98" t="s">
        <v>84</v>
      </c>
      <c r="AC64" s="98" t="s">
        <v>89</v>
      </c>
      <c r="AD64" s="100" t="s">
        <v>90</v>
      </c>
      <c r="AE64" s="100" t="s">
        <v>34</v>
      </c>
      <c r="AF64" s="98" t="s">
        <v>32</v>
      </c>
      <c r="AG64" s="98" t="s">
        <v>32</v>
      </c>
      <c r="AH64" s="98" t="s">
        <v>49</v>
      </c>
      <c r="AI64" s="101" t="s">
        <v>36</v>
      </c>
      <c r="AK64" s="97" t="str">
        <f>informatieblad!$A$6</f>
        <v>FL20</v>
      </c>
      <c r="AL64" s="99"/>
      <c r="AM64" s="97" t="str">
        <f>informatieblad!$A$7</f>
        <v>FL30</v>
      </c>
      <c r="AN64" s="66"/>
      <c r="AO64" s="99" t="str">
        <f>informatieblad!$A$8</f>
        <v>FL40</v>
      </c>
      <c r="AP64" s="66"/>
      <c r="AQ64" s="97" t="str">
        <f>informatieblad!$A$5</f>
        <v>none</v>
      </c>
      <c r="AR64" s="264"/>
      <c r="AT64" s="266" t="s">
        <v>17</v>
      </c>
      <c r="AW64" s="266" t="s">
        <v>37</v>
      </c>
      <c r="AY64" s="269" t="s">
        <v>38</v>
      </c>
      <c r="AZ64" s="272"/>
      <c r="BA64" s="272">
        <f>informatieblad!$B$3</f>
        <v>0</v>
      </c>
      <c r="BB64" s="272">
        <f>informatieblad!$B$3</f>
        <v>0</v>
      </c>
      <c r="BC64" s="272">
        <f>informatieblad!$B$4</f>
        <v>0</v>
      </c>
      <c r="BD64" s="264">
        <f>informatieblad!$B$4</f>
        <v>0</v>
      </c>
    </row>
    <row r="65" spans="1:56" ht="15.75" customHeight="1">
      <c r="A65" s="475"/>
      <c r="B65" s="471" t="str">
        <f>IF($C66&gt;0,IF(MAX(B64:C64)&lt;informatieblad!$Q$4,informatieblad!$P$3,IF(MAX(B64:C64)&gt;informatieblad!$R$4,informatieblad!$P$5,informatieblad!$P$4)),"")</f>
        <v/>
      </c>
      <c r="C65" s="472"/>
      <c r="D65" s="471" t="str">
        <f>IF($C66&gt;0,IF(MAX(D64:E64)&lt;informatieblad!$Q$4,informatieblad!$P$3,IF(MAX(D64:E64)&gt;informatieblad!$R$4,informatieblad!$P$5,informatieblad!$P$4)),"")</f>
        <v/>
      </c>
      <c r="E65" s="472"/>
      <c r="F65" s="134" t="str">
        <f>A64&amp;"-"&amp;informatieblad!$B$13&amp;"-"&amp;B64&amp;"-"&amp;C64&amp;"-"&amp;D64&amp;"-"&amp;E64&amp;"-"&amp;F64&amp;"-"&amp;G64&amp;"-"&amp;H64&amp;"-"&amp;I64&amp;"-"&amp;J64&amp;"-"&amp;B65&amp;"-"&amp;G66</f>
        <v>-RctR-----0-0-0-0---Options None</v>
      </c>
      <c r="G65" s="88"/>
      <c r="H65" s="469" t="s">
        <v>82</v>
      </c>
      <c r="I65" s="470"/>
      <c r="J65" s="135" t="str">
        <f>(IF($C66&gt;0,(IF(240&gt;(MAX(C64-E64,E64-C64,B64-D64,D64-B64))/2*1.732,240,(MAX(C64-E64,E64-C64,B64-D64,D64-B64))/2*1.732)+30+30),""))</f>
        <v/>
      </c>
      <c r="O65" s="103">
        <f>A64</f>
        <v>0</v>
      </c>
      <c r="P65" s="104" t="s">
        <v>39</v>
      </c>
      <c r="Q65" s="104" t="s">
        <v>39</v>
      </c>
      <c r="R65" s="104" t="s">
        <v>40</v>
      </c>
      <c r="S65" s="104" t="s">
        <v>40</v>
      </c>
      <c r="T65" s="104" t="s">
        <v>40</v>
      </c>
      <c r="U65" s="105"/>
      <c r="V65" s="155" t="s">
        <v>27</v>
      </c>
      <c r="W65" s="155" t="s">
        <v>40</v>
      </c>
      <c r="X65" s="155" t="s">
        <v>41</v>
      </c>
      <c r="Y65" s="156" t="s">
        <v>91</v>
      </c>
      <c r="Z65" s="104" t="s">
        <v>92</v>
      </c>
      <c r="AA65" s="104"/>
      <c r="AC65" s="136" t="s">
        <v>91</v>
      </c>
      <c r="AD65" s="136" t="s">
        <v>92</v>
      </c>
      <c r="AE65" s="107"/>
      <c r="AF65" s="104" t="s">
        <v>40</v>
      </c>
      <c r="AG65" s="104" t="s">
        <v>41</v>
      </c>
      <c r="AH65" s="108"/>
      <c r="AI65" s="109"/>
      <c r="AK65" s="262" t="str">
        <f>informatieblad!$A$2</f>
        <v>FL20 loose</v>
      </c>
      <c r="AL65" s="263"/>
      <c r="AM65" s="262" t="str">
        <f>informatieblad!$A$3</f>
        <v>FL30 loose</v>
      </c>
      <c r="AN65" s="105"/>
      <c r="AO65" s="263" t="str">
        <f>informatieblad!$A$4</f>
        <v>FL40 loose</v>
      </c>
      <c r="AP65" s="105"/>
      <c r="AQ65" s="265"/>
      <c r="AR65" s="105"/>
      <c r="AT65" s="267"/>
      <c r="AV65" s="83" t="str">
        <f>'UC mounting materials '!$B$10</f>
        <v>Rail 30x15</v>
      </c>
      <c r="AW65" s="327">
        <f>IF(AA66&lt;1000,(AA66+100),0)*C66</f>
        <v>0</v>
      </c>
      <c r="AY65" s="265" t="s">
        <v>47</v>
      </c>
      <c r="AZ65" s="106" t="s">
        <v>48</v>
      </c>
      <c r="BA65" s="83" t="s">
        <v>23</v>
      </c>
      <c r="BB65" s="83" t="s">
        <v>23</v>
      </c>
      <c r="BC65" s="83" t="s">
        <v>23</v>
      </c>
      <c r="BD65" s="273" t="s">
        <v>23</v>
      </c>
    </row>
    <row r="66" spans="1:56" ht="15.75" customHeight="1" thickBot="1">
      <c r="A66" s="476"/>
      <c r="B66" s="137" t="s">
        <v>23</v>
      </c>
      <c r="C66" s="157"/>
      <c r="D66" s="139"/>
      <c r="E66" s="140">
        <f>C66*Q66</f>
        <v>0</v>
      </c>
      <c r="F66" s="141" t="s">
        <v>24</v>
      </c>
      <c r="G66" s="461" t="s">
        <v>25</v>
      </c>
      <c r="H66" s="473"/>
      <c r="I66" s="473"/>
      <c r="J66" s="474"/>
      <c r="O66" s="111"/>
      <c r="P66" s="112">
        <f>(((2*(Y66+Z66))*(J64))/1000000)</f>
        <v>0</v>
      </c>
      <c r="Q66" s="112">
        <f>((IF(P66&lt;=informatieblad!$I$13,informatieblad!$I$13,IF(P66&gt;=informatieblad!$I$13,P66))))</f>
        <v>0.5</v>
      </c>
      <c r="R66" s="158">
        <f>ROUND((((2*(Y66+Z66))*AB66)/1000000),2)</f>
        <v>0</v>
      </c>
      <c r="S66" s="112">
        <f>((IF(R66&lt;=informatieblad!$H$13,informatieblad!$H$13,IF(R66&gt;=informatieblad!$H$13,R66))))</f>
        <v>0</v>
      </c>
      <c r="T66" s="113">
        <f>((S66*AF66)+(S66*W66))*C66</f>
        <v>0</v>
      </c>
      <c r="U66" s="114">
        <f>((Q66*AG66)+(Q66*X66))*C66</f>
        <v>0</v>
      </c>
      <c r="V66" s="115" t="str">
        <f>G66</f>
        <v>Options None</v>
      </c>
      <c r="W66" s="115">
        <f>VLOOKUP(G66,informatieblad!$A$37:$D$41,2,FALSE)</f>
        <v>0</v>
      </c>
      <c r="X66" s="115">
        <f>VLOOKUP(G66,informatieblad!$A$37:$D$41,4,FALSE)</f>
        <v>0</v>
      </c>
      <c r="Y66" s="159">
        <f>(MAX(B64,D64))</f>
        <v>0</v>
      </c>
      <c r="Z66" s="160">
        <f>(MAX(C64,E64))</f>
        <v>0</v>
      </c>
      <c r="AA66" s="160">
        <f>(MAX(B64:E64))</f>
        <v>0</v>
      </c>
      <c r="AB66" s="161">
        <f>(MAX(AD66,AC66))</f>
        <v>0</v>
      </c>
      <c r="AC66" s="162">
        <f>ROUND((SQRT((((MAX(F64,G64))^2)+(J64^2)))),0)</f>
        <v>0</v>
      </c>
      <c r="AD66" s="163">
        <f>ROUND((SQRT((((MAX(H64,I64))^2)+(J64^2)))),0)</f>
        <v>0</v>
      </c>
      <c r="AE66" s="119">
        <f>LOOKUP(AA66,informatieblad!$C$27:$C$32,informatieblad!$A$27:$A$32)</f>
        <v>0.5</v>
      </c>
      <c r="AF66" s="118">
        <f>VLOOKUP(AE66,informatieblad!$A$27:$M$32,6,FALSE)</f>
        <v>0</v>
      </c>
      <c r="AG66" s="118">
        <f>VLOOKUP(AE66,informatieblad!$A$27:$M$32,8,FALSE)</f>
        <v>45.1248</v>
      </c>
      <c r="AH66" s="120">
        <f>VLOOKUP(AE66,informatieblad!$A$27:$M$32,13,FALSE)</f>
        <v>4</v>
      </c>
      <c r="AI66" s="121">
        <f>ROUND((AH66*S66),1)</f>
        <v>0</v>
      </c>
      <c r="AK66" s="111">
        <f>(IF(B65=AK64,((2*B64)+(2*C64)),IF(B65=AK65,((2*B64)+(2*C64)),0)))*C66</f>
        <v>0</v>
      </c>
      <c r="AL66" s="261">
        <f>(IF(D65=AK64,((2*D64)+(2*E64)),IF(D65=AK65,((2*D64)+(2*E64)),0)))*C66</f>
        <v>0</v>
      </c>
      <c r="AM66" s="111">
        <f>(IF(D65=AM64,((2*B64)+(2*C64)),IF(D65=AM65,((2*B64)+(2*C64)),0)))*C66</f>
        <v>0</v>
      </c>
      <c r="AN66" s="260">
        <f>(IF(D65=AM64,((2*D64)+(2*E64)),IF(D65=AM65,((2*D64)+(2*E64)),0)))*C66</f>
        <v>0</v>
      </c>
      <c r="AO66" s="261">
        <f>(IF(B65=AO64,((2*B64)+(2*C64)),IF(B65=AO65,((2*B64)+(2*C64)),0)))*C66</f>
        <v>0</v>
      </c>
      <c r="AP66" s="260">
        <f>(IF(D65=AO64,((2*D64)+(2*E64)),IF(D65=AO65,((2*D64)+(2*E64)),0)))*C66</f>
        <v>0</v>
      </c>
      <c r="AQ66" s="111">
        <f>(IF(B65=AQ64,((2*B64)+(2*C64)),0))*C66</f>
        <v>0</v>
      </c>
      <c r="AR66" s="260">
        <f>(IF(D65=AQ64,((2*D64)+(2*E64)),0))*C66</f>
        <v>0</v>
      </c>
      <c r="AT66" s="268">
        <f>J64*C66</f>
        <v>0</v>
      </c>
      <c r="AV66" s="83" t="str">
        <f>'UC mounting materials '!$B$11</f>
        <v>Rail 41x41</v>
      </c>
      <c r="AW66" s="268">
        <f>IF(AA66&gt;999,(AA66+100),0)*C66</f>
        <v>0</v>
      </c>
      <c r="AY66" s="111" t="str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/>
      </c>
      <c r="AZ66" s="275" t="str">
        <f>IF(D65=informatieblad!$A$6,informatieblad!$B$6,IF(D65=informatieblad!$A$7,informatieblad!$B$7,IF(D65=informatieblad!$A$8,informatieblad!$B$8,IF(D65=informatieblad!$A$2,informatieblad!$B$2,IF(D65=informatieblad!$A$3,informatieblad!$B$3,IF(D65=informatieblad!$A$4,informatieblad!$B$4,IF(D65=informatieblad!$A$5,informatieblad!$B$5,"")))))))</f>
        <v/>
      </c>
      <c r="BA66" s="276">
        <f>IF(AY66=BA64,(4*C66),0)</f>
        <v>0</v>
      </c>
      <c r="BB66" s="276">
        <f>IF(AZ66=BA64,(4*C66),0)</f>
        <v>0</v>
      </c>
      <c r="BC66" s="276">
        <f>IF(AY66=BC64,(4*C66),0)</f>
        <v>0</v>
      </c>
      <c r="BD66" s="274">
        <f>IF(AZ66=BC64,(4*C66),0)</f>
        <v>0</v>
      </c>
    </row>
    <row r="67" spans="1:56" ht="5.0999999999999996" customHeight="1" thickBot="1">
      <c r="A67" s="145"/>
      <c r="B67" s="122"/>
      <c r="C67" s="122"/>
      <c r="D67" s="122"/>
      <c r="E67" s="122"/>
      <c r="F67" s="122"/>
      <c r="G67" s="122"/>
      <c r="H67" s="122"/>
      <c r="I67" s="122"/>
      <c r="J67" s="146"/>
    </row>
    <row r="68" spans="1:56" ht="15.75" customHeight="1" thickBot="1">
      <c r="A68" s="445"/>
      <c r="B68" s="147"/>
      <c r="C68" s="147"/>
      <c r="D68" s="147"/>
      <c r="E68" s="147"/>
      <c r="F68" s="147">
        <f>(B68-D68)/2</f>
        <v>0</v>
      </c>
      <c r="G68" s="148">
        <f>(B68-D68)-F68</f>
        <v>0</v>
      </c>
      <c r="H68" s="149">
        <f>(C68-E68)/2</f>
        <v>0</v>
      </c>
      <c r="I68" s="150">
        <f>(C68-E68)-H68</f>
        <v>0</v>
      </c>
      <c r="J68" s="151"/>
      <c r="K68" s="345" t="s">
        <v>20</v>
      </c>
      <c r="O68" s="97" t="s">
        <v>14</v>
      </c>
      <c r="P68" s="98" t="s">
        <v>27</v>
      </c>
      <c r="Q68" s="98" t="s">
        <v>28</v>
      </c>
      <c r="R68" s="98" t="s">
        <v>27</v>
      </c>
      <c r="S68" s="98" t="s">
        <v>28</v>
      </c>
      <c r="T68" s="98" t="s">
        <v>29</v>
      </c>
      <c r="U68" s="66" t="s">
        <v>30</v>
      </c>
      <c r="V68" s="153" t="s">
        <v>31</v>
      </c>
      <c r="W68" s="153"/>
      <c r="X68" s="153"/>
      <c r="Y68" s="154" t="s">
        <v>83</v>
      </c>
      <c r="Z68" s="100" t="s">
        <v>83</v>
      </c>
      <c r="AA68" s="100" t="s">
        <v>83</v>
      </c>
      <c r="AB68" s="98" t="s">
        <v>84</v>
      </c>
      <c r="AC68" s="98" t="s">
        <v>89</v>
      </c>
      <c r="AD68" s="100" t="s">
        <v>90</v>
      </c>
      <c r="AE68" s="100" t="s">
        <v>34</v>
      </c>
      <c r="AF68" s="98" t="s">
        <v>32</v>
      </c>
      <c r="AG68" s="98" t="s">
        <v>32</v>
      </c>
      <c r="AH68" s="98" t="s">
        <v>49</v>
      </c>
      <c r="AI68" s="101" t="s">
        <v>36</v>
      </c>
      <c r="AK68" s="97" t="str">
        <f>informatieblad!$A$6</f>
        <v>FL20</v>
      </c>
      <c r="AL68" s="99"/>
      <c r="AM68" s="97" t="str">
        <f>informatieblad!$A$7</f>
        <v>FL30</v>
      </c>
      <c r="AN68" s="66"/>
      <c r="AO68" s="99" t="str">
        <f>informatieblad!$A$8</f>
        <v>FL40</v>
      </c>
      <c r="AP68" s="66"/>
      <c r="AQ68" s="97" t="str">
        <f>informatieblad!$A$5</f>
        <v>none</v>
      </c>
      <c r="AR68" s="264"/>
      <c r="AT68" s="266" t="s">
        <v>17</v>
      </c>
      <c r="AW68" s="266" t="s">
        <v>37</v>
      </c>
      <c r="AY68" s="269" t="s">
        <v>38</v>
      </c>
      <c r="AZ68" s="272"/>
      <c r="BA68" s="272">
        <f>informatieblad!$B$3</f>
        <v>0</v>
      </c>
      <c r="BB68" s="272">
        <f>informatieblad!$B$3</f>
        <v>0</v>
      </c>
      <c r="BC68" s="272">
        <f>informatieblad!$B$4</f>
        <v>0</v>
      </c>
      <c r="BD68" s="264">
        <f>informatieblad!$B$4</f>
        <v>0</v>
      </c>
    </row>
    <row r="69" spans="1:56" ht="15.75" customHeight="1">
      <c r="A69" s="446"/>
      <c r="B69" s="471" t="str">
        <f>IF($C70&gt;0,IF(MAX(B68:C68)&lt;informatieblad!$Q$4,informatieblad!$P$3,IF(MAX(B68:C68)&gt;informatieblad!$R$4,informatieblad!$P$5,informatieblad!$P$4)),"")</f>
        <v/>
      </c>
      <c r="C69" s="472"/>
      <c r="D69" s="471" t="str">
        <f>IF($C70&gt;0,IF(MAX(D68:E68)&lt;informatieblad!$Q$4,informatieblad!$P$3,IF(MAX(D68:E68)&gt;informatieblad!$R$4,informatieblad!$P$5,informatieblad!$P$4)),"")</f>
        <v/>
      </c>
      <c r="E69" s="472"/>
      <c r="F69" s="134" t="str">
        <f>A68&amp;"-"&amp;informatieblad!$B$13&amp;"-"&amp;B68&amp;"-"&amp;C68&amp;"-"&amp;D68&amp;"-"&amp;E68&amp;"-"&amp;F68&amp;"-"&amp;G68&amp;"-"&amp;H68&amp;"-"&amp;I68&amp;"-"&amp;J68&amp;"-"&amp;B69&amp;"-"&amp;G70</f>
        <v>-RctR-----0-0-0-0---Options None</v>
      </c>
      <c r="G69" s="88"/>
      <c r="H69" s="469" t="s">
        <v>82</v>
      </c>
      <c r="I69" s="470"/>
      <c r="J69" s="135" t="str">
        <f>(IF($C70&gt;0,(IF(240&gt;(MAX(C68-E68,E68-C68,B68-D68,D68-B68))/2*1.732,240,(MAX(C68-E68,E68-C68,B68-D68,D68-B68))/2*1.732)+30+30),""))</f>
        <v/>
      </c>
      <c r="O69" s="103">
        <f>A68</f>
        <v>0</v>
      </c>
      <c r="P69" s="104" t="s">
        <v>39</v>
      </c>
      <c r="Q69" s="104" t="s">
        <v>39</v>
      </c>
      <c r="R69" s="104" t="s">
        <v>40</v>
      </c>
      <c r="S69" s="104" t="s">
        <v>40</v>
      </c>
      <c r="T69" s="104" t="s">
        <v>40</v>
      </c>
      <c r="U69" s="105"/>
      <c r="V69" s="155" t="s">
        <v>27</v>
      </c>
      <c r="W69" s="155" t="s">
        <v>40</v>
      </c>
      <c r="X69" s="155" t="s">
        <v>41</v>
      </c>
      <c r="Y69" s="156" t="s">
        <v>91</v>
      </c>
      <c r="Z69" s="104" t="s">
        <v>92</v>
      </c>
      <c r="AA69" s="104"/>
      <c r="AC69" s="136" t="s">
        <v>91</v>
      </c>
      <c r="AD69" s="136" t="s">
        <v>92</v>
      </c>
      <c r="AE69" s="107"/>
      <c r="AF69" s="104" t="s">
        <v>40</v>
      </c>
      <c r="AG69" s="104" t="s">
        <v>41</v>
      </c>
      <c r="AH69" s="108"/>
      <c r="AI69" s="109"/>
      <c r="AK69" s="262" t="str">
        <f>informatieblad!$A$2</f>
        <v>FL20 loose</v>
      </c>
      <c r="AL69" s="263"/>
      <c r="AM69" s="262" t="str">
        <f>informatieblad!$A$3</f>
        <v>FL30 loose</v>
      </c>
      <c r="AN69" s="105"/>
      <c r="AO69" s="263" t="str">
        <f>informatieblad!$A$4</f>
        <v>FL40 loose</v>
      </c>
      <c r="AP69" s="105"/>
      <c r="AQ69" s="265"/>
      <c r="AR69" s="105"/>
      <c r="AT69" s="267"/>
      <c r="AV69" s="83" t="str">
        <f>'UC mounting materials '!$B$10</f>
        <v>Rail 30x15</v>
      </c>
      <c r="AW69" s="327">
        <f>IF(AA70&lt;1000,(AA70+100),0)*C70</f>
        <v>0</v>
      </c>
      <c r="AY69" s="265" t="s">
        <v>47</v>
      </c>
      <c r="AZ69" s="106" t="s">
        <v>48</v>
      </c>
      <c r="BA69" s="83" t="s">
        <v>23</v>
      </c>
      <c r="BB69" s="83" t="s">
        <v>23</v>
      </c>
      <c r="BC69" s="83" t="s">
        <v>23</v>
      </c>
      <c r="BD69" s="273" t="s">
        <v>23</v>
      </c>
    </row>
    <row r="70" spans="1:56" ht="15.75" customHeight="1" thickBot="1">
      <c r="A70" s="476"/>
      <c r="B70" s="137" t="s">
        <v>23</v>
      </c>
      <c r="C70" s="157"/>
      <c r="D70" s="139"/>
      <c r="E70" s="140">
        <f>C70*Q70</f>
        <v>0</v>
      </c>
      <c r="F70" s="141" t="s">
        <v>24</v>
      </c>
      <c r="G70" s="461" t="s">
        <v>25</v>
      </c>
      <c r="H70" s="473"/>
      <c r="I70" s="473"/>
      <c r="J70" s="474"/>
      <c r="O70" s="111"/>
      <c r="P70" s="112">
        <f>(((2*(Y70+Z70))*(J68))/1000000)</f>
        <v>0</v>
      </c>
      <c r="Q70" s="112">
        <f>((IF(P70&lt;=informatieblad!$I$13,informatieblad!$I$13,IF(P70&gt;=informatieblad!$I$13,P70))))</f>
        <v>0.5</v>
      </c>
      <c r="R70" s="158">
        <f>ROUND((((2*(Y70+Z70))*AB70)/1000000),2)</f>
        <v>0</v>
      </c>
      <c r="S70" s="112">
        <f>((IF(R70&lt;=informatieblad!$H$13,informatieblad!$H$13,IF(R70&gt;=informatieblad!$H$13,R70))))</f>
        <v>0</v>
      </c>
      <c r="T70" s="113">
        <f>((S70*AF70)+(S70*W70))*C70</f>
        <v>0</v>
      </c>
      <c r="U70" s="114">
        <f>((Q70*AG70)+(Q70*X70))*C70</f>
        <v>0</v>
      </c>
      <c r="V70" s="115" t="str">
        <f>G70</f>
        <v>Options None</v>
      </c>
      <c r="W70" s="115">
        <f>VLOOKUP(G70,informatieblad!$A$37:$D$41,2,FALSE)</f>
        <v>0</v>
      </c>
      <c r="X70" s="115">
        <f>VLOOKUP(G70,informatieblad!$A$37:$D$41,4,FALSE)</f>
        <v>0</v>
      </c>
      <c r="Y70" s="159">
        <f>(MAX(B68,D68))</f>
        <v>0</v>
      </c>
      <c r="Z70" s="160">
        <f>(MAX(C68,E68))</f>
        <v>0</v>
      </c>
      <c r="AA70" s="160">
        <f>(MAX(B68:E68))</f>
        <v>0</v>
      </c>
      <c r="AB70" s="161">
        <f>(MAX(AD70,AC70))</f>
        <v>0</v>
      </c>
      <c r="AC70" s="162">
        <f>ROUND((SQRT((((MAX(F68,G68))^2)+(J68^2)))),0)</f>
        <v>0</v>
      </c>
      <c r="AD70" s="163">
        <f>ROUND((SQRT((((MAX(H68,I68))^2)+(J68^2)))),0)</f>
        <v>0</v>
      </c>
      <c r="AE70" s="119">
        <f>LOOKUP(AA70,informatieblad!$C$27:$C$32,informatieblad!$A$27:$A$32)</f>
        <v>0.5</v>
      </c>
      <c r="AF70" s="118">
        <f>VLOOKUP(AE70,informatieblad!$A$27:$M$32,6,FALSE)</f>
        <v>0</v>
      </c>
      <c r="AG70" s="118">
        <f>VLOOKUP(AE70,informatieblad!$A$27:$M$32,8,FALSE)</f>
        <v>45.1248</v>
      </c>
      <c r="AH70" s="120">
        <f>VLOOKUP(AE70,informatieblad!$A$27:$M$32,13,FALSE)</f>
        <v>4</v>
      </c>
      <c r="AI70" s="121">
        <f>ROUND((AH70*S70),1)</f>
        <v>0</v>
      </c>
      <c r="AK70" s="111">
        <f>(IF(B69=AK68,((2*B68)+(2*C68)),IF(B69=AK69,((2*B68)+(2*C68)),0)))*C70</f>
        <v>0</v>
      </c>
      <c r="AL70" s="261">
        <f>(IF(D69=AK68,((2*D68)+(2*E68)),IF(D69=AK69,((2*D68)+(2*E68)),0)))*C70</f>
        <v>0</v>
      </c>
      <c r="AM70" s="111">
        <f>(IF(D69=AM68,((2*B68)+(2*C68)),IF(D69=AM69,((2*B68)+(2*C68)),0)))*C70</f>
        <v>0</v>
      </c>
      <c r="AN70" s="260">
        <f>(IF(D69=AM68,((2*D68)+(2*E68)),IF(D69=AM69,((2*D68)+(2*E68)),0)))*C70</f>
        <v>0</v>
      </c>
      <c r="AO70" s="261">
        <f>(IF(B69=AO68,((2*B68)+(2*C68)),IF(B69=AO69,((2*B68)+(2*C68)),0)))*C70</f>
        <v>0</v>
      </c>
      <c r="AP70" s="260">
        <f>(IF(D69=AO68,((2*D68)+(2*E68)),IF(D69=AO69,((2*D68)+(2*E68)),0)))*C70</f>
        <v>0</v>
      </c>
      <c r="AQ70" s="111">
        <f>(IF(B69=AQ68,((2*B68)+(2*C68)),0))*C70</f>
        <v>0</v>
      </c>
      <c r="AR70" s="260">
        <f>(IF(D69=AQ68,((2*D68)+(2*E68)),0))*C70</f>
        <v>0</v>
      </c>
      <c r="AT70" s="268">
        <f>J68*C70</f>
        <v>0</v>
      </c>
      <c r="AV70" s="83" t="str">
        <f>'UC mounting materials '!$B$11</f>
        <v>Rail 41x41</v>
      </c>
      <c r="AW70" s="268">
        <f>IF(AA70&gt;999,(AA70+100),0)*C70</f>
        <v>0</v>
      </c>
      <c r="AY70" s="111" t="str">
        <f>IF(B69=informatieblad!$A$6,informatieblad!$B$6,IF(B69=informatieblad!$A$7,informatieblad!$B$7,IF(B69=informatieblad!$A$8,informatieblad!$B$8,IF(B69=informatieblad!$A$2,informatieblad!$B$2,IF(B69=informatieblad!$A$3,informatieblad!$B$3,IF(B69=informatieblad!$A$4,informatieblad!$B$4,IF(B69=informatieblad!$A$5,informatieblad!$B$5,"")))))))</f>
        <v/>
      </c>
      <c r="AZ70" s="275" t="str">
        <f>IF(D69=informatieblad!$A$6,informatieblad!$B$6,IF(D69=informatieblad!$A$7,informatieblad!$B$7,IF(D69=informatieblad!$A$8,informatieblad!$B$8,IF(D69=informatieblad!$A$2,informatieblad!$B$2,IF(D69=informatieblad!$A$3,informatieblad!$B$3,IF(D69=informatieblad!$A$4,informatieblad!$B$4,IF(D69=informatieblad!$A$5,informatieblad!$B$5,"")))))))</f>
        <v/>
      </c>
      <c r="BA70" s="276">
        <f>IF(AY70=BA68,(4*C70),0)</f>
        <v>0</v>
      </c>
      <c r="BB70" s="276">
        <f>IF(AZ70=BA68,(4*C70),0)</f>
        <v>0</v>
      </c>
      <c r="BC70" s="276">
        <f>IF(AY70=BC68,(4*C70),0)</f>
        <v>0</v>
      </c>
      <c r="BD70" s="274">
        <f>IF(AZ70=BC68,(4*C70),0)</f>
        <v>0</v>
      </c>
    </row>
    <row r="71" spans="1:56" ht="5.0999999999999996" customHeight="1" thickBot="1">
      <c r="A71" s="145"/>
      <c r="B71" s="122"/>
      <c r="C71" s="122"/>
      <c r="D71" s="122"/>
      <c r="E71" s="122"/>
      <c r="F71" s="122"/>
      <c r="G71" s="122"/>
      <c r="H71" s="122"/>
      <c r="I71" s="122"/>
      <c r="J71" s="146"/>
    </row>
    <row r="72" spans="1:56" ht="15.75" customHeight="1" thickBot="1">
      <c r="A72" s="445"/>
      <c r="B72" s="147"/>
      <c r="C72" s="147"/>
      <c r="D72" s="147"/>
      <c r="E72" s="147"/>
      <c r="F72" s="147">
        <f>(B72-D72)/2</f>
        <v>0</v>
      </c>
      <c r="G72" s="148">
        <f>(B72-D72)-F72</f>
        <v>0</v>
      </c>
      <c r="H72" s="149">
        <f>(C72-E72)/2</f>
        <v>0</v>
      </c>
      <c r="I72" s="150">
        <f>(C72-E72)-H72</f>
        <v>0</v>
      </c>
      <c r="J72" s="151"/>
      <c r="K72" s="345" t="s">
        <v>20</v>
      </c>
      <c r="O72" s="97" t="s">
        <v>14</v>
      </c>
      <c r="P72" s="98" t="s">
        <v>27</v>
      </c>
      <c r="Q72" s="98" t="s">
        <v>28</v>
      </c>
      <c r="R72" s="98" t="s">
        <v>27</v>
      </c>
      <c r="S72" s="98" t="s">
        <v>28</v>
      </c>
      <c r="T72" s="98" t="s">
        <v>29</v>
      </c>
      <c r="U72" s="66" t="s">
        <v>30</v>
      </c>
      <c r="V72" s="153" t="s">
        <v>31</v>
      </c>
      <c r="W72" s="153"/>
      <c r="X72" s="153"/>
      <c r="Y72" s="154" t="s">
        <v>83</v>
      </c>
      <c r="Z72" s="100" t="s">
        <v>83</v>
      </c>
      <c r="AA72" s="100" t="s">
        <v>83</v>
      </c>
      <c r="AB72" s="98" t="s">
        <v>84</v>
      </c>
      <c r="AC72" s="98" t="s">
        <v>89</v>
      </c>
      <c r="AD72" s="100" t="s">
        <v>90</v>
      </c>
      <c r="AE72" s="100" t="s">
        <v>34</v>
      </c>
      <c r="AF72" s="98" t="s">
        <v>32</v>
      </c>
      <c r="AG72" s="98" t="s">
        <v>32</v>
      </c>
      <c r="AH72" s="98" t="s">
        <v>49</v>
      </c>
      <c r="AI72" s="101" t="s">
        <v>36</v>
      </c>
      <c r="AK72" s="97" t="str">
        <f>informatieblad!$A$6</f>
        <v>FL20</v>
      </c>
      <c r="AL72" s="99"/>
      <c r="AM72" s="97" t="str">
        <f>informatieblad!$A$7</f>
        <v>FL30</v>
      </c>
      <c r="AN72" s="66"/>
      <c r="AO72" s="99" t="str">
        <f>informatieblad!$A$8</f>
        <v>FL40</v>
      </c>
      <c r="AP72" s="66"/>
      <c r="AQ72" s="97" t="str">
        <f>informatieblad!$A$5</f>
        <v>none</v>
      </c>
      <c r="AR72" s="264"/>
      <c r="AT72" s="266" t="s">
        <v>17</v>
      </c>
      <c r="AW72" s="266" t="s">
        <v>37</v>
      </c>
      <c r="AY72" s="269" t="s">
        <v>38</v>
      </c>
      <c r="AZ72" s="272"/>
      <c r="BA72" s="272">
        <f>informatieblad!$B$3</f>
        <v>0</v>
      </c>
      <c r="BB72" s="272">
        <f>informatieblad!$B$3</f>
        <v>0</v>
      </c>
      <c r="BC72" s="272">
        <f>informatieblad!$B$4</f>
        <v>0</v>
      </c>
      <c r="BD72" s="264">
        <f>informatieblad!$B$4</f>
        <v>0</v>
      </c>
    </row>
    <row r="73" spans="1:56" ht="15.75" customHeight="1">
      <c r="A73" s="446"/>
      <c r="B73" s="471" t="str">
        <f>IF($C74&gt;0,IF(MAX(B72:C72)&lt;informatieblad!$Q$4,informatieblad!$P$3,IF(MAX(B72:C72)&gt;informatieblad!$R$4,informatieblad!$P$5,informatieblad!$P$4)),"")</f>
        <v/>
      </c>
      <c r="C73" s="472"/>
      <c r="D73" s="471" t="str">
        <f>IF($C74&gt;0,IF(MAX(D72:E72)&lt;informatieblad!$Q$4,informatieblad!$P$3,IF(MAX(D72:E72)&gt;informatieblad!$R$4,informatieblad!$P$5,informatieblad!$P$4)),"")</f>
        <v/>
      </c>
      <c r="E73" s="472"/>
      <c r="F73" s="134" t="str">
        <f>A72&amp;"-"&amp;informatieblad!$B$13&amp;"-"&amp;B72&amp;"-"&amp;C72&amp;"-"&amp;D72&amp;"-"&amp;E72&amp;"-"&amp;F72&amp;"-"&amp;G72&amp;"-"&amp;H72&amp;"-"&amp;I72&amp;"-"&amp;J72&amp;"-"&amp;B73&amp;"-"&amp;G74</f>
        <v>-RctR-----0-0-0-0---Options None</v>
      </c>
      <c r="G73" s="88"/>
      <c r="H73" s="469" t="s">
        <v>82</v>
      </c>
      <c r="I73" s="470"/>
      <c r="J73" s="135" t="str">
        <f>(IF($C74&gt;0,(IF(240&gt;(MAX(C72-E72,E72-C72,B72-D72,D72-B72))/2*1.732,240,(MAX(C72-E72,E72-C72,B72-D72,D72-B72))/2*1.732)+30+30),""))</f>
        <v/>
      </c>
      <c r="O73" s="103">
        <f>A72</f>
        <v>0</v>
      </c>
      <c r="P73" s="104" t="s">
        <v>39</v>
      </c>
      <c r="Q73" s="104" t="s">
        <v>39</v>
      </c>
      <c r="R73" s="104" t="s">
        <v>40</v>
      </c>
      <c r="S73" s="104" t="s">
        <v>40</v>
      </c>
      <c r="T73" s="104" t="s">
        <v>40</v>
      </c>
      <c r="U73" s="105"/>
      <c r="V73" s="155" t="s">
        <v>27</v>
      </c>
      <c r="W73" s="155" t="s">
        <v>40</v>
      </c>
      <c r="X73" s="155" t="s">
        <v>41</v>
      </c>
      <c r="Y73" s="156" t="s">
        <v>91</v>
      </c>
      <c r="Z73" s="104" t="s">
        <v>92</v>
      </c>
      <c r="AA73" s="104"/>
      <c r="AC73" s="136" t="s">
        <v>91</v>
      </c>
      <c r="AD73" s="136" t="s">
        <v>92</v>
      </c>
      <c r="AE73" s="107"/>
      <c r="AF73" s="104" t="s">
        <v>40</v>
      </c>
      <c r="AG73" s="104" t="s">
        <v>41</v>
      </c>
      <c r="AH73" s="108"/>
      <c r="AI73" s="109"/>
      <c r="AK73" s="262" t="str">
        <f>informatieblad!$A$2</f>
        <v>FL20 loose</v>
      </c>
      <c r="AL73" s="263"/>
      <c r="AM73" s="262" t="str">
        <f>informatieblad!$A$3</f>
        <v>FL30 loose</v>
      </c>
      <c r="AN73" s="105"/>
      <c r="AO73" s="263" t="str">
        <f>informatieblad!$A$4</f>
        <v>FL40 loose</v>
      </c>
      <c r="AP73" s="105"/>
      <c r="AQ73" s="265"/>
      <c r="AR73" s="105"/>
      <c r="AT73" s="267"/>
      <c r="AV73" s="83" t="str">
        <f>'UC mounting materials '!$B$10</f>
        <v>Rail 30x15</v>
      </c>
      <c r="AW73" s="327">
        <f>IF(AA74&lt;1000,(AA74+100),0)*C74</f>
        <v>0</v>
      </c>
      <c r="AY73" s="265" t="s">
        <v>47</v>
      </c>
      <c r="AZ73" s="106" t="s">
        <v>48</v>
      </c>
      <c r="BA73" s="83" t="s">
        <v>23</v>
      </c>
      <c r="BB73" s="83" t="s">
        <v>23</v>
      </c>
      <c r="BC73" s="83" t="s">
        <v>23</v>
      </c>
      <c r="BD73" s="273" t="s">
        <v>23</v>
      </c>
    </row>
    <row r="74" spans="1:56" ht="15.75" customHeight="1" thickBot="1">
      <c r="A74" s="476"/>
      <c r="B74" s="137" t="s">
        <v>23</v>
      </c>
      <c r="C74" s="157"/>
      <c r="D74" s="139"/>
      <c r="E74" s="140">
        <f>C74*Q74</f>
        <v>0</v>
      </c>
      <c r="F74" s="141" t="s">
        <v>24</v>
      </c>
      <c r="G74" s="461" t="s">
        <v>25</v>
      </c>
      <c r="H74" s="473"/>
      <c r="I74" s="473"/>
      <c r="J74" s="474"/>
      <c r="O74" s="111"/>
      <c r="P74" s="112">
        <f>(((2*(Y74+Z74))*(J72))/1000000)</f>
        <v>0</v>
      </c>
      <c r="Q74" s="112">
        <f>((IF(P74&lt;=informatieblad!$I$13,informatieblad!$I$13,IF(P74&gt;=informatieblad!$I$13,P74))))</f>
        <v>0.5</v>
      </c>
      <c r="R74" s="158">
        <f>ROUND((((2*(Y74+Z74))*AB74)/1000000),2)</f>
        <v>0</v>
      </c>
      <c r="S74" s="112">
        <f>((IF(R74&lt;=informatieblad!$H$13,informatieblad!$H$13,IF(R74&gt;=informatieblad!$H$13,R74))))</f>
        <v>0</v>
      </c>
      <c r="T74" s="113">
        <f>((S74*AF74)+(S74*W74))*C74</f>
        <v>0</v>
      </c>
      <c r="U74" s="114">
        <f>((Q74*AG74)+(Q74*X74))*C74</f>
        <v>0</v>
      </c>
      <c r="V74" s="115" t="str">
        <f>G74</f>
        <v>Options None</v>
      </c>
      <c r="W74" s="115">
        <f>VLOOKUP(G74,informatieblad!$A$37:$D$41,2,FALSE)</f>
        <v>0</v>
      </c>
      <c r="X74" s="115">
        <f>VLOOKUP(G74,informatieblad!$A$37:$D$41,4,FALSE)</f>
        <v>0</v>
      </c>
      <c r="Y74" s="159">
        <f>(MAX(B72,D72))</f>
        <v>0</v>
      </c>
      <c r="Z74" s="160">
        <f>(MAX(C72,E72))</f>
        <v>0</v>
      </c>
      <c r="AA74" s="160">
        <f>(MAX(B72:E72))</f>
        <v>0</v>
      </c>
      <c r="AB74" s="161">
        <f>(MAX(AD74,AC74))</f>
        <v>0</v>
      </c>
      <c r="AC74" s="162">
        <f>ROUND((SQRT((((MAX(F72,G72))^2)+(J72^2)))),0)</f>
        <v>0</v>
      </c>
      <c r="AD74" s="163">
        <f>ROUND((SQRT((((MAX(H72,I72))^2)+(J72^2)))),0)</f>
        <v>0</v>
      </c>
      <c r="AE74" s="119">
        <f>LOOKUP(AA74,informatieblad!$C$27:$C$32,informatieblad!$A$27:$A$32)</f>
        <v>0.5</v>
      </c>
      <c r="AF74" s="118">
        <f>VLOOKUP(AE74,informatieblad!$A$27:$M$32,6,FALSE)</f>
        <v>0</v>
      </c>
      <c r="AG74" s="118">
        <f>VLOOKUP(AE74,informatieblad!$A$27:$M$32,8,FALSE)</f>
        <v>45.1248</v>
      </c>
      <c r="AH74" s="120">
        <f>VLOOKUP(AE74,informatieblad!$A$27:$M$32,13,FALSE)</f>
        <v>4</v>
      </c>
      <c r="AI74" s="121">
        <f>ROUND((AH74*S74),1)</f>
        <v>0</v>
      </c>
      <c r="AK74" s="111">
        <f>(IF(B73=AK72,((2*B72)+(2*C72)),IF(B73=AK73,((2*B72)+(2*C72)),0)))*C74</f>
        <v>0</v>
      </c>
      <c r="AL74" s="261">
        <f>(IF(D73=AK72,((2*D72)+(2*E72)),IF(D73=AK73,((2*D72)+(2*E72)),0)))*C74</f>
        <v>0</v>
      </c>
      <c r="AM74" s="111">
        <f>(IF(D73=AM72,((2*B72)+(2*C72)),IF(D73=AM73,((2*B72)+(2*C72)),0)))*C74</f>
        <v>0</v>
      </c>
      <c r="AN74" s="260">
        <f>(IF(D73=AM72,((2*D72)+(2*E72)),IF(D73=AM73,((2*D72)+(2*E72)),0)))*C74</f>
        <v>0</v>
      </c>
      <c r="AO74" s="261">
        <f>(IF(B73=AO72,((2*B72)+(2*C72)),IF(B73=AO73,((2*B72)+(2*C72)),0)))*C74</f>
        <v>0</v>
      </c>
      <c r="AP74" s="260">
        <f>(IF(D73=AO72,((2*D72)+(2*E72)),IF(D73=AO73,((2*D72)+(2*E72)),0)))*C74</f>
        <v>0</v>
      </c>
      <c r="AQ74" s="111">
        <f>(IF(B73=AQ72,((2*B72)+(2*C72)),0))*C74</f>
        <v>0</v>
      </c>
      <c r="AR74" s="260">
        <f>(IF(D73=AQ72,((2*D72)+(2*E72)),0))*C74</f>
        <v>0</v>
      </c>
      <c r="AT74" s="268">
        <f>J72*C74</f>
        <v>0</v>
      </c>
      <c r="AV74" s="83" t="str">
        <f>'UC mounting materials '!$B$11</f>
        <v>Rail 41x41</v>
      </c>
      <c r="AW74" s="268">
        <f>IF(AA74&gt;999,(AA74+100),0)*C74</f>
        <v>0</v>
      </c>
      <c r="AY74" s="111" t="str">
        <f>IF(B73=informatieblad!$A$6,informatieblad!$B$6,IF(B73=informatieblad!$A$7,informatieblad!$B$7,IF(B73=informatieblad!$A$8,informatieblad!$B$8,IF(B73=informatieblad!$A$2,informatieblad!$B$2,IF(B73=informatieblad!$A$3,informatieblad!$B$3,IF(B73=informatieblad!$A$4,informatieblad!$B$4,IF(B73=informatieblad!$A$5,informatieblad!$B$5,"")))))))</f>
        <v/>
      </c>
      <c r="AZ74" s="275" t="str">
        <f>IF(D73=informatieblad!$A$6,informatieblad!$B$6,IF(D73=informatieblad!$A$7,informatieblad!$B$7,IF(D73=informatieblad!$A$8,informatieblad!$B$8,IF(D73=informatieblad!$A$2,informatieblad!$B$2,IF(D73=informatieblad!$A$3,informatieblad!$B$3,IF(D73=informatieblad!$A$4,informatieblad!$B$4,IF(D73=informatieblad!$A$5,informatieblad!$B$5,"")))))))</f>
        <v/>
      </c>
      <c r="BA74" s="276">
        <f>IF(AY74=BA72,(4*C74),0)</f>
        <v>0</v>
      </c>
      <c r="BB74" s="276">
        <f>IF(AZ74=BA72,(4*C74),0)</f>
        <v>0</v>
      </c>
      <c r="BC74" s="276">
        <f>IF(AY74=BC72,(4*C74),0)</f>
        <v>0</v>
      </c>
      <c r="BD74" s="274">
        <f>IF(AZ74=BC72,(4*C74),0)</f>
        <v>0</v>
      </c>
    </row>
    <row r="75" spans="1:56" ht="5.0999999999999996" customHeight="1" thickBot="1">
      <c r="A75" s="145"/>
      <c r="B75" s="122"/>
      <c r="C75" s="122"/>
      <c r="D75" s="122"/>
      <c r="E75" s="122"/>
      <c r="F75" s="122"/>
      <c r="G75" s="122"/>
      <c r="H75" s="122"/>
      <c r="I75" s="122"/>
      <c r="J75" s="146"/>
    </row>
    <row r="76" spans="1:56" ht="15.75" customHeight="1" thickBot="1">
      <c r="A76" s="445"/>
      <c r="B76" s="147"/>
      <c r="C76" s="147"/>
      <c r="D76" s="147"/>
      <c r="E76" s="147"/>
      <c r="F76" s="147">
        <f>(B76-D76)/2</f>
        <v>0</v>
      </c>
      <c r="G76" s="148">
        <f>(B76-D76)-F76</f>
        <v>0</v>
      </c>
      <c r="H76" s="149">
        <f>(C76-E76)/2</f>
        <v>0</v>
      </c>
      <c r="I76" s="150">
        <f>(C76-E76)-H76</f>
        <v>0</v>
      </c>
      <c r="J76" s="151"/>
      <c r="K76" s="345" t="s">
        <v>20</v>
      </c>
      <c r="O76" s="97" t="s">
        <v>14</v>
      </c>
      <c r="P76" s="98" t="s">
        <v>27</v>
      </c>
      <c r="Q76" s="98" t="s">
        <v>28</v>
      </c>
      <c r="R76" s="98" t="s">
        <v>27</v>
      </c>
      <c r="S76" s="98" t="s">
        <v>28</v>
      </c>
      <c r="T76" s="98" t="s">
        <v>29</v>
      </c>
      <c r="U76" s="66" t="s">
        <v>30</v>
      </c>
      <c r="V76" s="153" t="s">
        <v>31</v>
      </c>
      <c r="W76" s="153"/>
      <c r="X76" s="153"/>
      <c r="Y76" s="154" t="s">
        <v>83</v>
      </c>
      <c r="Z76" s="100" t="s">
        <v>83</v>
      </c>
      <c r="AA76" s="100" t="s">
        <v>83</v>
      </c>
      <c r="AB76" s="98" t="s">
        <v>84</v>
      </c>
      <c r="AC76" s="98" t="s">
        <v>89</v>
      </c>
      <c r="AD76" s="100" t="s">
        <v>90</v>
      </c>
      <c r="AE76" s="100" t="s">
        <v>34</v>
      </c>
      <c r="AF76" s="98" t="s">
        <v>32</v>
      </c>
      <c r="AG76" s="98" t="s">
        <v>32</v>
      </c>
      <c r="AH76" s="98" t="s">
        <v>49</v>
      </c>
      <c r="AI76" s="101" t="s">
        <v>36</v>
      </c>
      <c r="AK76" s="97" t="str">
        <f>informatieblad!$A$6</f>
        <v>FL20</v>
      </c>
      <c r="AL76" s="99"/>
      <c r="AM76" s="97" t="str">
        <f>informatieblad!$A$7</f>
        <v>FL30</v>
      </c>
      <c r="AN76" s="66"/>
      <c r="AO76" s="99" t="str">
        <f>informatieblad!$A$8</f>
        <v>FL40</v>
      </c>
      <c r="AP76" s="66"/>
      <c r="AQ76" s="97" t="str">
        <f>informatieblad!$A$5</f>
        <v>none</v>
      </c>
      <c r="AR76" s="264"/>
      <c r="AT76" s="266" t="s">
        <v>17</v>
      </c>
      <c r="AW76" s="266" t="s">
        <v>37</v>
      </c>
      <c r="AY76" s="269" t="s">
        <v>38</v>
      </c>
      <c r="AZ76" s="272"/>
      <c r="BA76" s="272">
        <f>informatieblad!$B$3</f>
        <v>0</v>
      </c>
      <c r="BB76" s="272">
        <f>informatieblad!$B$3</f>
        <v>0</v>
      </c>
      <c r="BC76" s="272">
        <f>informatieblad!$B$4</f>
        <v>0</v>
      </c>
      <c r="BD76" s="264">
        <f>informatieblad!$B$4</f>
        <v>0</v>
      </c>
    </row>
    <row r="77" spans="1:56" ht="15.75" customHeight="1">
      <c r="A77" s="467"/>
      <c r="B77" s="471" t="str">
        <f>IF($C78&gt;0,IF(MAX(B76:C76)&lt;informatieblad!$Q$4,informatieblad!$P$3,IF(MAX(B76:C76)&gt;informatieblad!$R$4,informatieblad!$P$5,informatieblad!$P$4)),"")</f>
        <v/>
      </c>
      <c r="C77" s="472"/>
      <c r="D77" s="471" t="str">
        <f>IF($C78&gt;0,IF(MAX(D76:E76)&lt;informatieblad!$Q$4,informatieblad!$P$3,IF(MAX(D76:E76)&gt;informatieblad!$R$4,informatieblad!$P$5,informatieblad!$P$4)),"")</f>
        <v/>
      </c>
      <c r="E77" s="472"/>
      <c r="F77" s="134" t="str">
        <f>A76&amp;"-"&amp;informatieblad!$B$13&amp;"-"&amp;B76&amp;"-"&amp;C76&amp;"-"&amp;D76&amp;"-"&amp;E76&amp;"-"&amp;F76&amp;"-"&amp;G76&amp;"-"&amp;H76&amp;"-"&amp;I76&amp;"-"&amp;J76&amp;"-"&amp;B77&amp;"-"&amp;G78</f>
        <v>-RctR-----0-0-0-0---Options None</v>
      </c>
      <c r="G77" s="88"/>
      <c r="H77" s="469" t="s">
        <v>82</v>
      </c>
      <c r="I77" s="470"/>
      <c r="J77" s="135" t="str">
        <f>(IF($C78&gt;0,(IF(240&gt;(MAX(C76-E76,E76-C76,B76-D76,D76-B76))/2*1.732,240,(MAX(C76-E76,E76-C76,B76-D76,D76-B76))/2*1.732)+30+30),""))</f>
        <v/>
      </c>
      <c r="O77" s="103">
        <f>A76</f>
        <v>0</v>
      </c>
      <c r="P77" s="104" t="s">
        <v>39</v>
      </c>
      <c r="Q77" s="104" t="s">
        <v>39</v>
      </c>
      <c r="R77" s="104" t="s">
        <v>40</v>
      </c>
      <c r="S77" s="104" t="s">
        <v>40</v>
      </c>
      <c r="T77" s="104" t="s">
        <v>40</v>
      </c>
      <c r="U77" s="105"/>
      <c r="V77" s="155" t="s">
        <v>27</v>
      </c>
      <c r="W77" s="155" t="s">
        <v>40</v>
      </c>
      <c r="X77" s="155" t="s">
        <v>41</v>
      </c>
      <c r="Y77" s="156" t="s">
        <v>91</v>
      </c>
      <c r="Z77" s="104" t="s">
        <v>92</v>
      </c>
      <c r="AA77" s="104"/>
      <c r="AC77" s="136" t="s">
        <v>91</v>
      </c>
      <c r="AD77" s="136" t="s">
        <v>92</v>
      </c>
      <c r="AE77" s="107"/>
      <c r="AF77" s="104" t="s">
        <v>40</v>
      </c>
      <c r="AG77" s="104" t="s">
        <v>41</v>
      </c>
      <c r="AH77" s="108"/>
      <c r="AI77" s="109"/>
      <c r="AK77" s="262" t="str">
        <f>informatieblad!$A$2</f>
        <v>FL20 loose</v>
      </c>
      <c r="AL77" s="263"/>
      <c r="AM77" s="262" t="str">
        <f>informatieblad!$A$3</f>
        <v>FL30 loose</v>
      </c>
      <c r="AN77" s="105"/>
      <c r="AO77" s="263" t="str">
        <f>informatieblad!$A$4</f>
        <v>FL40 loose</v>
      </c>
      <c r="AP77" s="105"/>
      <c r="AQ77" s="265"/>
      <c r="AR77" s="105"/>
      <c r="AT77" s="267"/>
      <c r="AV77" s="83" t="str">
        <f>'UC mounting materials '!$B$10</f>
        <v>Rail 30x15</v>
      </c>
      <c r="AW77" s="327">
        <f>IF(AA78&lt;1000,(AA78+100),0)*C78</f>
        <v>0</v>
      </c>
      <c r="AY77" s="265" t="s">
        <v>47</v>
      </c>
      <c r="AZ77" s="106" t="s">
        <v>48</v>
      </c>
      <c r="BA77" s="83" t="s">
        <v>23</v>
      </c>
      <c r="BB77" s="83" t="s">
        <v>23</v>
      </c>
      <c r="BC77" s="83" t="s">
        <v>23</v>
      </c>
      <c r="BD77" s="273" t="s">
        <v>23</v>
      </c>
    </row>
    <row r="78" spans="1:56" ht="15.75" customHeight="1" thickBot="1">
      <c r="A78" s="468"/>
      <c r="B78" s="137" t="s">
        <v>23</v>
      </c>
      <c r="C78" s="157"/>
      <c r="D78" s="139"/>
      <c r="E78" s="140">
        <f>C78*Q78</f>
        <v>0</v>
      </c>
      <c r="F78" s="141" t="s">
        <v>24</v>
      </c>
      <c r="G78" s="461" t="s">
        <v>25</v>
      </c>
      <c r="H78" s="473"/>
      <c r="I78" s="473"/>
      <c r="J78" s="474"/>
      <c r="O78" s="111"/>
      <c r="P78" s="112">
        <f>(((2*(Y78+Z78))*(J76))/1000000)</f>
        <v>0</v>
      </c>
      <c r="Q78" s="112">
        <f>((IF(P78&lt;=informatieblad!$I$13,informatieblad!$I$13,IF(P78&gt;=informatieblad!$I$13,P78))))</f>
        <v>0.5</v>
      </c>
      <c r="R78" s="158">
        <f>ROUND((((2*(Y78+Z78))*AB78)/1000000),2)</f>
        <v>0</v>
      </c>
      <c r="S78" s="112">
        <f>((IF(R78&lt;=informatieblad!$H$13,informatieblad!$H$13,IF(R78&gt;=informatieblad!$H$13,R78))))</f>
        <v>0</v>
      </c>
      <c r="T78" s="113">
        <f>((S78*AF78)+(S78*W78))*C78</f>
        <v>0</v>
      </c>
      <c r="U78" s="114">
        <f>((Q78*AG78)+(Q78*X78))*C78</f>
        <v>0</v>
      </c>
      <c r="V78" s="115" t="str">
        <f>G78</f>
        <v>Options None</v>
      </c>
      <c r="W78" s="115">
        <f>VLOOKUP(G78,informatieblad!$A$37:$D$41,2,FALSE)</f>
        <v>0</v>
      </c>
      <c r="X78" s="115">
        <f>VLOOKUP(G78,informatieblad!$A$37:$D$41,4,FALSE)</f>
        <v>0</v>
      </c>
      <c r="Y78" s="159">
        <f>(MAX(B76,D76))</f>
        <v>0</v>
      </c>
      <c r="Z78" s="160">
        <f>(MAX(C76,E76))</f>
        <v>0</v>
      </c>
      <c r="AA78" s="160">
        <f>(MAX(B76:E76))</f>
        <v>0</v>
      </c>
      <c r="AB78" s="161">
        <f>(MAX(AD78,AC78))</f>
        <v>0</v>
      </c>
      <c r="AC78" s="162">
        <f>ROUND((SQRT((((MAX(F76,G76))^2)+(J76^2)))),0)</f>
        <v>0</v>
      </c>
      <c r="AD78" s="163">
        <f>ROUND((SQRT((((MAX(H76,I76))^2)+(J76^2)))),0)</f>
        <v>0</v>
      </c>
      <c r="AE78" s="119">
        <f>LOOKUP(AA78,informatieblad!$C$27:$C$32,informatieblad!$A$27:$A$32)</f>
        <v>0.5</v>
      </c>
      <c r="AF78" s="118">
        <f>VLOOKUP(AE78,informatieblad!$A$27:$M$32,6,FALSE)</f>
        <v>0</v>
      </c>
      <c r="AG78" s="118">
        <f>VLOOKUP(AE78,informatieblad!$A$27:$M$32,8,FALSE)</f>
        <v>45.1248</v>
      </c>
      <c r="AH78" s="120">
        <f>VLOOKUP(AE78,informatieblad!$A$27:$M$32,13,FALSE)</f>
        <v>4</v>
      </c>
      <c r="AI78" s="121">
        <f>ROUND((AH78*S78),1)</f>
        <v>0</v>
      </c>
      <c r="AK78" s="111">
        <f>(IF(B77=AK76,((2*B76)+(2*C76)),IF(B77=AK77,((2*B76)+(2*C76)),0)))*C78</f>
        <v>0</v>
      </c>
      <c r="AL78" s="261">
        <f>(IF(D77=AK76,((2*D76)+(2*E76)),IF(D77=AK77,((2*D76)+(2*E76)),0)))*C78</f>
        <v>0</v>
      </c>
      <c r="AM78" s="111">
        <f>(IF(D77=AM76,((2*B76)+(2*C76)),IF(D77=AM77,((2*B76)+(2*C76)),0)))*C78</f>
        <v>0</v>
      </c>
      <c r="AN78" s="260">
        <f>(IF(D77=AM76,((2*D76)+(2*E76)),IF(D77=AM77,((2*D76)+(2*E76)),0)))*C78</f>
        <v>0</v>
      </c>
      <c r="AO78" s="261">
        <f>(IF(B77=AO76,((2*B76)+(2*C76)),IF(B77=AO77,((2*B76)+(2*C76)),0)))*C78</f>
        <v>0</v>
      </c>
      <c r="AP78" s="260">
        <f>(IF(D77=AO76,((2*D76)+(2*E76)),IF(D77=AO77,((2*D76)+(2*E76)),0)))*C78</f>
        <v>0</v>
      </c>
      <c r="AQ78" s="111">
        <f>(IF(B77=AQ76,((2*B76)+(2*C76)),0))*C78</f>
        <v>0</v>
      </c>
      <c r="AR78" s="260">
        <f>(IF(D77=AQ76,((2*D76)+(2*E76)),0))*C78</f>
        <v>0</v>
      </c>
      <c r="AT78" s="268">
        <f>J76*C78</f>
        <v>0</v>
      </c>
      <c r="AV78" s="83" t="str">
        <f>'UC mounting materials '!$B$11</f>
        <v>Rail 41x41</v>
      </c>
      <c r="AW78" s="268">
        <f>IF(AA78&gt;999,(AA78+100),0)*C78</f>
        <v>0</v>
      </c>
      <c r="AY78" s="111" t="str">
        <f>IF(B77=informatieblad!$A$6,informatieblad!$B$6,IF(B77=informatieblad!$A$7,informatieblad!$B$7,IF(B77=informatieblad!$A$8,informatieblad!$B$8,IF(B77=informatieblad!$A$2,informatieblad!$B$2,IF(B77=informatieblad!$A$3,informatieblad!$B$3,IF(B77=informatieblad!$A$4,informatieblad!$B$4,IF(B77=informatieblad!$A$5,informatieblad!$B$5,"")))))))</f>
        <v/>
      </c>
      <c r="AZ78" s="275" t="str">
        <f>IF(D77=informatieblad!$A$6,informatieblad!$B$6,IF(D77=informatieblad!$A$7,informatieblad!$B$7,IF(D77=informatieblad!$A$8,informatieblad!$B$8,IF(D77=informatieblad!$A$2,informatieblad!$B$2,IF(D77=informatieblad!$A$3,informatieblad!$B$3,IF(D77=informatieblad!$A$4,informatieblad!$B$4,IF(D77=informatieblad!$A$5,informatieblad!$B$5,"")))))))</f>
        <v/>
      </c>
      <c r="BA78" s="276">
        <f>IF(AY78=BA76,(4*C78),0)</f>
        <v>0</v>
      </c>
      <c r="BB78" s="276">
        <f>IF(AZ78=BA76,(4*C78),0)</f>
        <v>0</v>
      </c>
      <c r="BC78" s="276">
        <f>IF(AY78=BC76,(4*C78),0)</f>
        <v>0</v>
      </c>
      <c r="BD78" s="274">
        <f>IF(AZ78=BC76,(4*C78),0)</f>
        <v>0</v>
      </c>
    </row>
    <row r="79" spans="1:56" ht="5.0999999999999996" customHeight="1" thickBot="1">
      <c r="A79" s="145"/>
      <c r="B79" s="122"/>
      <c r="C79" s="122"/>
      <c r="D79" s="122"/>
      <c r="E79" s="122"/>
      <c r="F79" s="122"/>
      <c r="G79" s="122"/>
      <c r="H79" s="122"/>
      <c r="I79" s="122"/>
      <c r="J79" s="146"/>
    </row>
    <row r="80" spans="1:56" ht="15.75" customHeight="1" thickBot="1">
      <c r="A80" s="445"/>
      <c r="B80" s="147"/>
      <c r="C80" s="147"/>
      <c r="D80" s="147"/>
      <c r="E80" s="147"/>
      <c r="F80" s="147">
        <f>(B80-D80)/2</f>
        <v>0</v>
      </c>
      <c r="G80" s="148">
        <f>(B80-D80)-F80</f>
        <v>0</v>
      </c>
      <c r="H80" s="149">
        <f>(C80-E80)/2</f>
        <v>0</v>
      </c>
      <c r="I80" s="150">
        <f>(C80-E80)-H80</f>
        <v>0</v>
      </c>
      <c r="J80" s="151"/>
      <c r="K80" s="345" t="s">
        <v>20</v>
      </c>
      <c r="O80" s="97" t="s">
        <v>14</v>
      </c>
      <c r="P80" s="98" t="s">
        <v>27</v>
      </c>
      <c r="Q80" s="98" t="s">
        <v>28</v>
      </c>
      <c r="R80" s="98" t="s">
        <v>27</v>
      </c>
      <c r="S80" s="98" t="s">
        <v>28</v>
      </c>
      <c r="T80" s="98" t="s">
        <v>29</v>
      </c>
      <c r="U80" s="66" t="s">
        <v>30</v>
      </c>
      <c r="V80" s="153" t="s">
        <v>31</v>
      </c>
      <c r="W80" s="153"/>
      <c r="X80" s="153"/>
      <c r="Y80" s="154" t="s">
        <v>83</v>
      </c>
      <c r="Z80" s="100" t="s">
        <v>83</v>
      </c>
      <c r="AA80" s="100" t="s">
        <v>83</v>
      </c>
      <c r="AB80" s="98" t="s">
        <v>84</v>
      </c>
      <c r="AC80" s="98" t="s">
        <v>89</v>
      </c>
      <c r="AD80" s="100" t="s">
        <v>90</v>
      </c>
      <c r="AE80" s="100" t="s">
        <v>34</v>
      </c>
      <c r="AF80" s="98" t="s">
        <v>32</v>
      </c>
      <c r="AG80" s="98" t="s">
        <v>32</v>
      </c>
      <c r="AH80" s="98" t="s">
        <v>49</v>
      </c>
      <c r="AI80" s="101" t="s">
        <v>36</v>
      </c>
      <c r="AK80" s="97" t="str">
        <f>informatieblad!$A$6</f>
        <v>FL20</v>
      </c>
      <c r="AL80" s="99"/>
      <c r="AM80" s="97" t="str">
        <f>informatieblad!$A$7</f>
        <v>FL30</v>
      </c>
      <c r="AN80" s="66"/>
      <c r="AO80" s="99" t="str">
        <f>informatieblad!$A$8</f>
        <v>FL40</v>
      </c>
      <c r="AP80" s="66"/>
      <c r="AQ80" s="97" t="str">
        <f>informatieblad!$A$5</f>
        <v>none</v>
      </c>
      <c r="AR80" s="264"/>
      <c r="AT80" s="266" t="s">
        <v>17</v>
      </c>
      <c r="AW80" s="266" t="s">
        <v>37</v>
      </c>
      <c r="AY80" s="269" t="s">
        <v>38</v>
      </c>
      <c r="AZ80" s="272"/>
      <c r="BA80" s="272">
        <f>informatieblad!$B$3</f>
        <v>0</v>
      </c>
      <c r="BB80" s="272">
        <f>informatieblad!$B$3</f>
        <v>0</v>
      </c>
      <c r="BC80" s="272">
        <f>informatieblad!$B$4</f>
        <v>0</v>
      </c>
      <c r="BD80" s="264">
        <f>informatieblad!$B$4</f>
        <v>0</v>
      </c>
    </row>
    <row r="81" spans="1:56" ht="15.75" customHeight="1">
      <c r="A81" s="446"/>
      <c r="B81" s="471" t="str">
        <f>IF($C82&gt;0,IF(MAX(B80:C80)&lt;informatieblad!$Q$4,informatieblad!$P$3,IF(MAX(B80:C80)&gt;informatieblad!$R$4,informatieblad!$P$5,informatieblad!$P$4)),"")</f>
        <v/>
      </c>
      <c r="C81" s="472"/>
      <c r="D81" s="471" t="str">
        <f>IF($C82&gt;0,IF(MAX(D80:E80)&lt;informatieblad!$Q$4,informatieblad!$P$3,IF(MAX(D80:E80)&gt;informatieblad!$R$4,informatieblad!$P$5,informatieblad!$P$4)),"")</f>
        <v/>
      </c>
      <c r="E81" s="472"/>
      <c r="F81" s="134" t="str">
        <f>A80&amp;"-"&amp;informatieblad!$B$13&amp;"-"&amp;B80&amp;"-"&amp;C80&amp;"-"&amp;D80&amp;"-"&amp;E80&amp;"-"&amp;F80&amp;"-"&amp;G80&amp;"-"&amp;H80&amp;"-"&amp;I80&amp;"-"&amp;J80&amp;"-"&amp;B81&amp;"-"&amp;G82</f>
        <v>-RctR-----0-0-0-0---Options None</v>
      </c>
      <c r="G81" s="88"/>
      <c r="H81" s="469" t="s">
        <v>82</v>
      </c>
      <c r="I81" s="470"/>
      <c r="J81" s="135" t="str">
        <f>(IF($C82&gt;0,(IF(240&gt;(MAX(C80-E80,E80-C80,B80-D80,D80-B80))/2*1.732,240,(MAX(C80-E80,E80-C80,B80-D80,D80-B80))/2*1.732)+30+30),""))</f>
        <v/>
      </c>
      <c r="O81" s="103">
        <f>A80</f>
        <v>0</v>
      </c>
      <c r="P81" s="104" t="s">
        <v>39</v>
      </c>
      <c r="Q81" s="104" t="s">
        <v>39</v>
      </c>
      <c r="R81" s="104" t="s">
        <v>40</v>
      </c>
      <c r="S81" s="104" t="s">
        <v>40</v>
      </c>
      <c r="T81" s="104" t="s">
        <v>40</v>
      </c>
      <c r="U81" s="105"/>
      <c r="V81" s="155" t="s">
        <v>27</v>
      </c>
      <c r="W81" s="155" t="s">
        <v>40</v>
      </c>
      <c r="X81" s="155" t="s">
        <v>41</v>
      </c>
      <c r="Y81" s="156" t="s">
        <v>91</v>
      </c>
      <c r="Z81" s="104" t="s">
        <v>92</v>
      </c>
      <c r="AA81" s="104"/>
      <c r="AC81" s="136" t="s">
        <v>91</v>
      </c>
      <c r="AD81" s="136" t="s">
        <v>92</v>
      </c>
      <c r="AE81" s="107"/>
      <c r="AF81" s="104" t="s">
        <v>40</v>
      </c>
      <c r="AG81" s="104" t="s">
        <v>41</v>
      </c>
      <c r="AH81" s="108"/>
      <c r="AI81" s="109"/>
      <c r="AK81" s="262" t="str">
        <f>informatieblad!$A$2</f>
        <v>FL20 loose</v>
      </c>
      <c r="AL81" s="263"/>
      <c r="AM81" s="262" t="str">
        <f>informatieblad!$A$3</f>
        <v>FL30 loose</v>
      </c>
      <c r="AN81" s="105"/>
      <c r="AO81" s="263" t="str">
        <f>informatieblad!$A$4</f>
        <v>FL40 loose</v>
      </c>
      <c r="AP81" s="105"/>
      <c r="AQ81" s="265"/>
      <c r="AR81" s="105"/>
      <c r="AT81" s="267"/>
      <c r="AV81" s="83" t="str">
        <f>'UC mounting materials '!$B$10</f>
        <v>Rail 30x15</v>
      </c>
      <c r="AW81" s="327">
        <f>IF(AA82&lt;1000,(AA82+100),0)*C82</f>
        <v>0</v>
      </c>
      <c r="AY81" s="265" t="s">
        <v>47</v>
      </c>
      <c r="AZ81" s="106" t="s">
        <v>48</v>
      </c>
      <c r="BA81" s="83" t="s">
        <v>23</v>
      </c>
      <c r="BB81" s="83" t="s">
        <v>23</v>
      </c>
      <c r="BC81" s="83" t="s">
        <v>23</v>
      </c>
      <c r="BD81" s="273" t="s">
        <v>23</v>
      </c>
    </row>
    <row r="82" spans="1:56" ht="15.75" customHeight="1" thickBot="1">
      <c r="A82" s="476"/>
      <c r="B82" s="137" t="s">
        <v>23</v>
      </c>
      <c r="C82" s="157"/>
      <c r="D82" s="139"/>
      <c r="E82" s="140">
        <f>C82*Q82</f>
        <v>0</v>
      </c>
      <c r="F82" s="141" t="s">
        <v>24</v>
      </c>
      <c r="G82" s="461" t="s">
        <v>25</v>
      </c>
      <c r="H82" s="473"/>
      <c r="I82" s="473"/>
      <c r="J82" s="474"/>
      <c r="O82" s="111"/>
      <c r="P82" s="112">
        <f>(((2*(Y82+Z82))*(J80))/1000000)</f>
        <v>0</v>
      </c>
      <c r="Q82" s="112">
        <f>((IF(P82&lt;=informatieblad!$I$13,informatieblad!$I$13,IF(P82&gt;=informatieblad!$I$13,P82))))</f>
        <v>0.5</v>
      </c>
      <c r="R82" s="158">
        <f>ROUND((((2*(Y82+Z82))*AB82)/1000000),2)</f>
        <v>0</v>
      </c>
      <c r="S82" s="112">
        <f>((IF(R82&lt;=informatieblad!$H$13,informatieblad!$H$13,IF(R82&gt;=informatieblad!$H$13,R82))))</f>
        <v>0</v>
      </c>
      <c r="T82" s="113">
        <f>((S82*AF82)+(S82*W82))*C82</f>
        <v>0</v>
      </c>
      <c r="U82" s="114">
        <f>((Q82*AG82)+(Q82*X82))*C82</f>
        <v>0</v>
      </c>
      <c r="V82" s="115" t="str">
        <f>G82</f>
        <v>Options None</v>
      </c>
      <c r="W82" s="115">
        <f>VLOOKUP(G82,informatieblad!$A$37:$D$41,2,FALSE)</f>
        <v>0</v>
      </c>
      <c r="X82" s="115">
        <f>VLOOKUP(G82,informatieblad!$A$37:$D$41,4,FALSE)</f>
        <v>0</v>
      </c>
      <c r="Y82" s="159">
        <f>(MAX(B80,D80))</f>
        <v>0</v>
      </c>
      <c r="Z82" s="160">
        <f>(MAX(C80,E80))</f>
        <v>0</v>
      </c>
      <c r="AA82" s="160">
        <f>(MAX(B80:E80))</f>
        <v>0</v>
      </c>
      <c r="AB82" s="161">
        <f>(MAX(AD82,AC82))</f>
        <v>0</v>
      </c>
      <c r="AC82" s="162">
        <f>ROUND((SQRT((((MAX(F80,G80))^2)+(J80^2)))),0)</f>
        <v>0</v>
      </c>
      <c r="AD82" s="163">
        <f>ROUND((SQRT((((MAX(H80,I80))^2)+(J80^2)))),0)</f>
        <v>0</v>
      </c>
      <c r="AE82" s="119">
        <f>LOOKUP(AA82,informatieblad!$C$27:$C$32,informatieblad!$A$27:$A$32)</f>
        <v>0.5</v>
      </c>
      <c r="AF82" s="118">
        <f>VLOOKUP(AE82,informatieblad!$A$27:$M$32,6,FALSE)</f>
        <v>0</v>
      </c>
      <c r="AG82" s="118">
        <f>VLOOKUP(AE82,informatieblad!$A$27:$M$32,8,FALSE)</f>
        <v>45.1248</v>
      </c>
      <c r="AH82" s="120">
        <f>VLOOKUP(AE82,informatieblad!$A$27:$M$32,13,FALSE)</f>
        <v>4</v>
      </c>
      <c r="AI82" s="121">
        <f>ROUND((AH82*S82),1)</f>
        <v>0</v>
      </c>
      <c r="AK82" s="111">
        <f>(IF(B81=AK80,((2*B80)+(2*C80)),IF(B81=AK81,((2*B80)+(2*C80)),0)))*C82</f>
        <v>0</v>
      </c>
      <c r="AL82" s="261">
        <f>(IF(D81=AK80,((2*D80)+(2*E80)),IF(D81=AK81,((2*D80)+(2*E80)),0)))*C82</f>
        <v>0</v>
      </c>
      <c r="AM82" s="111">
        <f>(IF(D81=AM80,((2*B80)+(2*C80)),IF(D81=AM81,((2*B80)+(2*C80)),0)))*C82</f>
        <v>0</v>
      </c>
      <c r="AN82" s="260">
        <f>(IF(D81=AM80,((2*D80)+(2*E80)),IF(D81=AM81,((2*D80)+(2*E80)),0)))*C82</f>
        <v>0</v>
      </c>
      <c r="AO82" s="261">
        <f>(IF(B81=AO80,((2*B80)+(2*C80)),IF(B81=AO81,((2*B80)+(2*C80)),0)))*C82</f>
        <v>0</v>
      </c>
      <c r="AP82" s="260">
        <f>(IF(D81=AO80,((2*D80)+(2*E80)),IF(D81=AO81,((2*D80)+(2*E80)),0)))*C82</f>
        <v>0</v>
      </c>
      <c r="AQ82" s="111">
        <f>(IF(B81=AQ80,((2*B80)+(2*C80)),0))*C82</f>
        <v>0</v>
      </c>
      <c r="AR82" s="260">
        <f>(IF(D81=AQ80,((2*D80)+(2*E80)),0))*C82</f>
        <v>0</v>
      </c>
      <c r="AT82" s="268">
        <f>J80*C82</f>
        <v>0</v>
      </c>
      <c r="AV82" s="83" t="str">
        <f>'UC mounting materials '!$B$11</f>
        <v>Rail 41x41</v>
      </c>
      <c r="AW82" s="268">
        <f>IF(AA82&gt;999,(AA82+100),0)*C82</f>
        <v>0</v>
      </c>
      <c r="AY82" s="111" t="str">
        <f>IF(B81=informatieblad!$A$6,informatieblad!$B$6,IF(B81=informatieblad!$A$7,informatieblad!$B$7,IF(B81=informatieblad!$A$8,informatieblad!$B$8,IF(B81=informatieblad!$A$2,informatieblad!$B$2,IF(B81=informatieblad!$A$3,informatieblad!$B$3,IF(B81=informatieblad!$A$4,informatieblad!$B$4,IF(B81=informatieblad!$A$5,informatieblad!$B$5,"")))))))</f>
        <v/>
      </c>
      <c r="AZ82" s="275" t="str">
        <f>IF(D81=informatieblad!$A$6,informatieblad!$B$6,IF(D81=informatieblad!$A$7,informatieblad!$B$7,IF(D81=informatieblad!$A$8,informatieblad!$B$8,IF(D81=informatieblad!$A$2,informatieblad!$B$2,IF(D81=informatieblad!$A$3,informatieblad!$B$3,IF(D81=informatieblad!$A$4,informatieblad!$B$4,IF(D81=informatieblad!$A$5,informatieblad!$B$5,"")))))))</f>
        <v/>
      </c>
      <c r="BA82" s="276">
        <f>IF(AY82=BA80,(4*C82),0)</f>
        <v>0</v>
      </c>
      <c r="BB82" s="276">
        <f>IF(AZ82=BA80,(4*C82),0)</f>
        <v>0</v>
      </c>
      <c r="BC82" s="276">
        <f>IF(AY82=BC80,(4*C82),0)</f>
        <v>0</v>
      </c>
      <c r="BD82" s="274">
        <f>IF(AZ82=BC80,(4*C82),0)</f>
        <v>0</v>
      </c>
    </row>
    <row r="83" spans="1:56" ht="5.0999999999999996" customHeight="1" thickBot="1">
      <c r="A83" s="145"/>
      <c r="B83" s="122"/>
      <c r="C83" s="122"/>
      <c r="D83" s="122"/>
      <c r="E83" s="122"/>
      <c r="F83" s="122"/>
      <c r="G83" s="122"/>
      <c r="H83" s="122"/>
      <c r="I83" s="122"/>
      <c r="J83" s="146"/>
    </row>
    <row r="84" spans="1:56" ht="15.75" customHeight="1" thickBot="1">
      <c r="A84" s="445"/>
      <c r="B84" s="147"/>
      <c r="C84" s="147"/>
      <c r="D84" s="147"/>
      <c r="E84" s="147"/>
      <c r="F84" s="147">
        <f>(B84-D84)/2</f>
        <v>0</v>
      </c>
      <c r="G84" s="148">
        <f>(B84-D84)-F84</f>
        <v>0</v>
      </c>
      <c r="H84" s="149">
        <f>(C84-E84)/2</f>
        <v>0</v>
      </c>
      <c r="I84" s="150">
        <f>(C84-E84)-H84</f>
        <v>0</v>
      </c>
      <c r="J84" s="151"/>
      <c r="K84" s="345" t="s">
        <v>20</v>
      </c>
      <c r="O84" s="97" t="s">
        <v>14</v>
      </c>
      <c r="P84" s="98" t="s">
        <v>27</v>
      </c>
      <c r="Q84" s="98" t="s">
        <v>28</v>
      </c>
      <c r="R84" s="98" t="s">
        <v>27</v>
      </c>
      <c r="S84" s="98" t="s">
        <v>28</v>
      </c>
      <c r="T84" s="98" t="s">
        <v>29</v>
      </c>
      <c r="U84" s="66" t="s">
        <v>30</v>
      </c>
      <c r="V84" s="153" t="s">
        <v>31</v>
      </c>
      <c r="W84" s="153"/>
      <c r="X84" s="153"/>
      <c r="Y84" s="154" t="s">
        <v>83</v>
      </c>
      <c r="Z84" s="100" t="s">
        <v>83</v>
      </c>
      <c r="AA84" s="100" t="s">
        <v>83</v>
      </c>
      <c r="AB84" s="98" t="s">
        <v>84</v>
      </c>
      <c r="AC84" s="98" t="s">
        <v>89</v>
      </c>
      <c r="AD84" s="100" t="s">
        <v>90</v>
      </c>
      <c r="AE84" s="100" t="s">
        <v>34</v>
      </c>
      <c r="AF84" s="98" t="s">
        <v>32</v>
      </c>
      <c r="AG84" s="98" t="s">
        <v>32</v>
      </c>
      <c r="AH84" s="98" t="s">
        <v>49</v>
      </c>
      <c r="AI84" s="101" t="s">
        <v>36</v>
      </c>
      <c r="AK84" s="97" t="str">
        <f>informatieblad!$A$6</f>
        <v>FL20</v>
      </c>
      <c r="AL84" s="99"/>
      <c r="AM84" s="97" t="str">
        <f>informatieblad!$A$7</f>
        <v>FL30</v>
      </c>
      <c r="AN84" s="66"/>
      <c r="AO84" s="99" t="str">
        <f>informatieblad!$A$8</f>
        <v>FL40</v>
      </c>
      <c r="AP84" s="66"/>
      <c r="AQ84" s="97" t="str">
        <f>informatieblad!$A$5</f>
        <v>none</v>
      </c>
      <c r="AR84" s="264"/>
      <c r="AT84" s="266" t="s">
        <v>17</v>
      </c>
      <c r="AW84" s="266" t="s">
        <v>37</v>
      </c>
      <c r="AY84" s="269" t="s">
        <v>38</v>
      </c>
      <c r="AZ84" s="272"/>
      <c r="BA84" s="272">
        <f>informatieblad!$B$3</f>
        <v>0</v>
      </c>
      <c r="BB84" s="272">
        <f>informatieblad!$B$3</f>
        <v>0</v>
      </c>
      <c r="BC84" s="272">
        <f>informatieblad!$B$4</f>
        <v>0</v>
      </c>
      <c r="BD84" s="264">
        <f>informatieblad!$B$4</f>
        <v>0</v>
      </c>
    </row>
    <row r="85" spans="1:56" ht="15.75" customHeight="1">
      <c r="A85" s="446"/>
      <c r="B85" s="471" t="str">
        <f>IF($C86&gt;0,IF(MAX(B84:C84)&lt;informatieblad!$Q$4,informatieblad!$P$3,IF(MAX(B84:C84)&gt;informatieblad!$R$4,informatieblad!$P$5,informatieblad!$P$4)),"")</f>
        <v/>
      </c>
      <c r="C85" s="472"/>
      <c r="D85" s="471" t="str">
        <f>IF($C86&gt;0,IF(MAX(D84:E84)&lt;informatieblad!$Q$4,informatieblad!$P$3,IF(MAX(D84:E84)&gt;informatieblad!$R$4,informatieblad!$P$5,informatieblad!$P$4)),"")</f>
        <v/>
      </c>
      <c r="E85" s="472"/>
      <c r="F85" s="134" t="str">
        <f>A84&amp;"-"&amp;informatieblad!$B$13&amp;"-"&amp;B84&amp;"-"&amp;C84&amp;"-"&amp;D84&amp;"-"&amp;E84&amp;"-"&amp;F84&amp;"-"&amp;G84&amp;"-"&amp;H84&amp;"-"&amp;I84&amp;"-"&amp;J84&amp;"-"&amp;B85&amp;"-"&amp;G86</f>
        <v>-RctR-----0-0-0-0---Options None</v>
      </c>
      <c r="G85" s="88"/>
      <c r="H85" s="469" t="s">
        <v>82</v>
      </c>
      <c r="I85" s="470"/>
      <c r="J85" s="135" t="str">
        <f>(IF($C86&gt;0,(IF(240&gt;(MAX(C84-E84,E84-C84,B84-D84,D84-B84))/2*1.732,240,(MAX(C84-E84,E84-C84,B84-D84,D84-B84))/2*1.732)+30+30),""))</f>
        <v/>
      </c>
      <c r="O85" s="103">
        <f>A84</f>
        <v>0</v>
      </c>
      <c r="P85" s="104" t="s">
        <v>39</v>
      </c>
      <c r="Q85" s="104" t="s">
        <v>39</v>
      </c>
      <c r="R85" s="104" t="s">
        <v>40</v>
      </c>
      <c r="S85" s="104" t="s">
        <v>40</v>
      </c>
      <c r="T85" s="104" t="s">
        <v>40</v>
      </c>
      <c r="U85" s="105"/>
      <c r="V85" s="155" t="s">
        <v>27</v>
      </c>
      <c r="W85" s="155" t="s">
        <v>40</v>
      </c>
      <c r="X85" s="155" t="s">
        <v>41</v>
      </c>
      <c r="Y85" s="156" t="s">
        <v>91</v>
      </c>
      <c r="Z85" s="104" t="s">
        <v>92</v>
      </c>
      <c r="AA85" s="104"/>
      <c r="AC85" s="136" t="s">
        <v>91</v>
      </c>
      <c r="AD85" s="136" t="s">
        <v>92</v>
      </c>
      <c r="AE85" s="107"/>
      <c r="AF85" s="104" t="s">
        <v>40</v>
      </c>
      <c r="AG85" s="104" t="s">
        <v>41</v>
      </c>
      <c r="AH85" s="108"/>
      <c r="AI85" s="109"/>
      <c r="AK85" s="262" t="str">
        <f>informatieblad!$A$2</f>
        <v>FL20 loose</v>
      </c>
      <c r="AL85" s="263"/>
      <c r="AM85" s="262" t="str">
        <f>informatieblad!$A$3</f>
        <v>FL30 loose</v>
      </c>
      <c r="AN85" s="105"/>
      <c r="AO85" s="263" t="str">
        <f>informatieblad!$A$4</f>
        <v>FL40 loose</v>
      </c>
      <c r="AP85" s="105"/>
      <c r="AQ85" s="265"/>
      <c r="AR85" s="105"/>
      <c r="AT85" s="267"/>
      <c r="AV85" s="83" t="str">
        <f>'UC mounting materials '!$B$10</f>
        <v>Rail 30x15</v>
      </c>
      <c r="AW85" s="327">
        <f>IF(AA86&lt;1000,(AA86+100),0)*C86</f>
        <v>0</v>
      </c>
      <c r="AY85" s="265" t="s">
        <v>47</v>
      </c>
      <c r="AZ85" s="106" t="s">
        <v>48</v>
      </c>
      <c r="BA85" s="83" t="s">
        <v>23</v>
      </c>
      <c r="BB85" s="83" t="s">
        <v>23</v>
      </c>
      <c r="BC85" s="83" t="s">
        <v>23</v>
      </c>
      <c r="BD85" s="273" t="s">
        <v>23</v>
      </c>
    </row>
    <row r="86" spans="1:56" ht="15.75" customHeight="1" thickBot="1">
      <c r="A86" s="476"/>
      <c r="B86" s="137" t="s">
        <v>23</v>
      </c>
      <c r="C86" s="157"/>
      <c r="D86" s="139"/>
      <c r="E86" s="140">
        <f>C86*Q86</f>
        <v>0</v>
      </c>
      <c r="F86" s="141" t="s">
        <v>24</v>
      </c>
      <c r="G86" s="461" t="s">
        <v>25</v>
      </c>
      <c r="H86" s="473"/>
      <c r="I86" s="473"/>
      <c r="J86" s="474"/>
      <c r="O86" s="111"/>
      <c r="P86" s="112">
        <f>(((2*(Y86+Z86))*(J84))/1000000)</f>
        <v>0</v>
      </c>
      <c r="Q86" s="112">
        <f>((IF(P86&lt;=informatieblad!$I$13,informatieblad!$I$13,IF(P86&gt;=informatieblad!$I$13,P86))))</f>
        <v>0.5</v>
      </c>
      <c r="R86" s="158">
        <f>ROUND((((2*(Y86+Z86))*AB86)/1000000),2)</f>
        <v>0</v>
      </c>
      <c r="S86" s="112">
        <f>((IF(R86&lt;=informatieblad!$H$13,informatieblad!$H$13,IF(R86&gt;=informatieblad!$H$13,R86))))</f>
        <v>0</v>
      </c>
      <c r="T86" s="113">
        <f>((S86*AF86)+(S86*W86))*C86</f>
        <v>0</v>
      </c>
      <c r="U86" s="114">
        <f>((Q86*AG86)+(Q86*X86))*C86</f>
        <v>0</v>
      </c>
      <c r="V86" s="115" t="str">
        <f>G86</f>
        <v>Options None</v>
      </c>
      <c r="W86" s="115">
        <f>VLOOKUP(G86,informatieblad!$A$37:$D$41,2,FALSE)</f>
        <v>0</v>
      </c>
      <c r="X86" s="115">
        <f>VLOOKUP(G86,informatieblad!$A$37:$D$41,4,FALSE)</f>
        <v>0</v>
      </c>
      <c r="Y86" s="159">
        <f>(MAX(B84,D84))</f>
        <v>0</v>
      </c>
      <c r="Z86" s="160">
        <f>(MAX(C84,E84))</f>
        <v>0</v>
      </c>
      <c r="AA86" s="160">
        <f>(MAX(B84:E84))</f>
        <v>0</v>
      </c>
      <c r="AB86" s="161">
        <f>(MAX(AD86,AC86))</f>
        <v>0</v>
      </c>
      <c r="AC86" s="162">
        <f>ROUND((SQRT((((MAX(F84,G84))^2)+(J84^2)))),0)</f>
        <v>0</v>
      </c>
      <c r="AD86" s="163">
        <f>ROUND((SQRT((((MAX(H84,I84))^2)+(J84^2)))),0)</f>
        <v>0</v>
      </c>
      <c r="AE86" s="119">
        <f>LOOKUP(AA86,informatieblad!$C$27:$C$32,informatieblad!$A$27:$A$32)</f>
        <v>0.5</v>
      </c>
      <c r="AF86" s="118">
        <f>VLOOKUP(AE86,informatieblad!$A$27:$M$32,6,FALSE)</f>
        <v>0</v>
      </c>
      <c r="AG86" s="118">
        <f>VLOOKUP(AE86,informatieblad!$A$27:$M$32,8,FALSE)</f>
        <v>45.1248</v>
      </c>
      <c r="AH86" s="120">
        <f>VLOOKUP(AE86,informatieblad!$A$27:$M$32,13,FALSE)</f>
        <v>4</v>
      </c>
      <c r="AI86" s="121">
        <f>ROUND((AH86*S86),1)</f>
        <v>0</v>
      </c>
      <c r="AK86" s="111">
        <f>(IF(B85=AK84,((2*B84)+(2*C84)),IF(B85=AK85,((2*B84)+(2*C84)),0)))*C86</f>
        <v>0</v>
      </c>
      <c r="AL86" s="261">
        <f>(IF(D85=AK84,((2*D84)+(2*E84)),IF(D85=AK85,((2*D84)+(2*E84)),0)))*C86</f>
        <v>0</v>
      </c>
      <c r="AM86" s="111">
        <f>(IF(D85=AM84,((2*B84)+(2*C84)),IF(D85=AM85,((2*B84)+(2*C84)),0)))*C86</f>
        <v>0</v>
      </c>
      <c r="AN86" s="260">
        <f>(IF(D85=AM84,((2*D84)+(2*E84)),IF(D85=AM85,((2*D84)+(2*E84)),0)))*C86</f>
        <v>0</v>
      </c>
      <c r="AO86" s="261">
        <f>(IF(B85=AO84,((2*B84)+(2*C84)),IF(B85=AO85,((2*B84)+(2*C84)),0)))*C86</f>
        <v>0</v>
      </c>
      <c r="AP86" s="260">
        <f>(IF(D85=AO84,((2*D84)+(2*E84)),IF(D85=AO85,((2*D84)+(2*E84)),0)))*C86</f>
        <v>0</v>
      </c>
      <c r="AQ86" s="111">
        <f>(IF(B85=AQ84,((2*B84)+(2*C84)),0))*C86</f>
        <v>0</v>
      </c>
      <c r="AR86" s="260">
        <f>(IF(D85=AQ84,((2*D84)+(2*E84)),0))*C86</f>
        <v>0</v>
      </c>
      <c r="AT86" s="268">
        <f>J84*C86</f>
        <v>0</v>
      </c>
      <c r="AV86" s="83" t="str">
        <f>'UC mounting materials '!$B$11</f>
        <v>Rail 41x41</v>
      </c>
      <c r="AW86" s="268">
        <f>IF(AA86&gt;999,(AA86+100),0)*C86</f>
        <v>0</v>
      </c>
      <c r="AY86" s="111" t="str">
        <f>IF(B85=informatieblad!$A$6,informatieblad!$B$6,IF(B85=informatieblad!$A$7,informatieblad!$B$7,IF(B85=informatieblad!$A$8,informatieblad!$B$8,IF(B85=informatieblad!$A$2,informatieblad!$B$2,IF(B85=informatieblad!$A$3,informatieblad!$B$3,IF(B85=informatieblad!$A$4,informatieblad!$B$4,IF(B85=informatieblad!$A$5,informatieblad!$B$5,"")))))))</f>
        <v/>
      </c>
      <c r="AZ86" s="275" t="str">
        <f>IF(D85=informatieblad!$A$6,informatieblad!$B$6,IF(D85=informatieblad!$A$7,informatieblad!$B$7,IF(D85=informatieblad!$A$8,informatieblad!$B$8,IF(D85=informatieblad!$A$2,informatieblad!$B$2,IF(D85=informatieblad!$A$3,informatieblad!$B$3,IF(D85=informatieblad!$A$4,informatieblad!$B$4,IF(D85=informatieblad!$A$5,informatieblad!$B$5,"")))))))</f>
        <v/>
      </c>
      <c r="BA86" s="276">
        <f>IF(AY86=BA84,(4*C86),0)</f>
        <v>0</v>
      </c>
      <c r="BB86" s="276">
        <f>IF(AZ86=BA84,(4*C86),0)</f>
        <v>0</v>
      </c>
      <c r="BC86" s="276">
        <f>IF(AY86=BC84,(4*C86),0)</f>
        <v>0</v>
      </c>
      <c r="BD86" s="274">
        <f>IF(AZ86=BC84,(4*C86),0)</f>
        <v>0</v>
      </c>
    </row>
    <row r="87" spans="1:56" ht="5.0999999999999996" customHeight="1" thickBot="1">
      <c r="A87" s="145"/>
      <c r="B87" s="122"/>
      <c r="C87" s="122"/>
      <c r="D87" s="122"/>
      <c r="E87" s="122"/>
      <c r="F87" s="122"/>
      <c r="G87" s="122"/>
      <c r="H87" s="122"/>
      <c r="I87" s="122"/>
      <c r="J87" s="146"/>
    </row>
    <row r="88" spans="1:56" ht="15.75" customHeight="1" thickBot="1">
      <c r="A88" s="445"/>
      <c r="B88" s="147"/>
      <c r="C88" s="147"/>
      <c r="D88" s="147"/>
      <c r="E88" s="147"/>
      <c r="F88" s="147">
        <f>(B88-D88)/2</f>
        <v>0</v>
      </c>
      <c r="G88" s="148">
        <f>(B88-D88)-F88</f>
        <v>0</v>
      </c>
      <c r="H88" s="149">
        <f>(C88-E88)/2</f>
        <v>0</v>
      </c>
      <c r="I88" s="150">
        <f>(C88-E88)-H88</f>
        <v>0</v>
      </c>
      <c r="J88" s="151"/>
      <c r="K88" s="345" t="s">
        <v>20</v>
      </c>
      <c r="O88" s="97" t="s">
        <v>14</v>
      </c>
      <c r="P88" s="98" t="s">
        <v>27</v>
      </c>
      <c r="Q88" s="98" t="s">
        <v>28</v>
      </c>
      <c r="R88" s="98" t="s">
        <v>27</v>
      </c>
      <c r="S88" s="98" t="s">
        <v>28</v>
      </c>
      <c r="T88" s="98" t="s">
        <v>29</v>
      </c>
      <c r="U88" s="66" t="s">
        <v>30</v>
      </c>
      <c r="V88" s="153" t="s">
        <v>31</v>
      </c>
      <c r="W88" s="153"/>
      <c r="X88" s="153"/>
      <c r="Y88" s="154" t="s">
        <v>83</v>
      </c>
      <c r="Z88" s="100" t="s">
        <v>83</v>
      </c>
      <c r="AA88" s="100" t="s">
        <v>83</v>
      </c>
      <c r="AB88" s="98" t="s">
        <v>84</v>
      </c>
      <c r="AC88" s="98" t="s">
        <v>89</v>
      </c>
      <c r="AD88" s="100" t="s">
        <v>90</v>
      </c>
      <c r="AE88" s="100" t="s">
        <v>34</v>
      </c>
      <c r="AF88" s="98" t="s">
        <v>32</v>
      </c>
      <c r="AG88" s="98" t="s">
        <v>32</v>
      </c>
      <c r="AH88" s="98" t="s">
        <v>49</v>
      </c>
      <c r="AI88" s="101" t="s">
        <v>36</v>
      </c>
      <c r="AK88" s="97" t="str">
        <f>informatieblad!$A$6</f>
        <v>FL20</v>
      </c>
      <c r="AL88" s="99"/>
      <c r="AM88" s="97" t="str">
        <f>informatieblad!$A$7</f>
        <v>FL30</v>
      </c>
      <c r="AN88" s="66"/>
      <c r="AO88" s="99" t="str">
        <f>informatieblad!$A$8</f>
        <v>FL40</v>
      </c>
      <c r="AP88" s="66"/>
      <c r="AQ88" s="97" t="str">
        <f>informatieblad!$A$5</f>
        <v>none</v>
      </c>
      <c r="AR88" s="264"/>
      <c r="AT88" s="266" t="s">
        <v>17</v>
      </c>
      <c r="AW88" s="266" t="s">
        <v>37</v>
      </c>
      <c r="AY88" s="269" t="s">
        <v>38</v>
      </c>
      <c r="AZ88" s="272"/>
      <c r="BA88" s="272">
        <f>informatieblad!$B$3</f>
        <v>0</v>
      </c>
      <c r="BB88" s="272">
        <f>informatieblad!$B$3</f>
        <v>0</v>
      </c>
      <c r="BC88" s="272">
        <f>informatieblad!$B$4</f>
        <v>0</v>
      </c>
      <c r="BD88" s="264">
        <f>informatieblad!$B$4</f>
        <v>0</v>
      </c>
    </row>
    <row r="89" spans="1:56" ht="15.75" customHeight="1">
      <c r="A89" s="446"/>
      <c r="B89" s="471" t="str">
        <f>IF($C90&gt;0,IF(MAX(B88:C88)&lt;informatieblad!$Q$4,informatieblad!$P$3,IF(MAX(B88:C88)&gt;informatieblad!$R$4,informatieblad!$P$5,informatieblad!$P$4)),"")</f>
        <v/>
      </c>
      <c r="C89" s="472"/>
      <c r="D89" s="471" t="str">
        <f>IF($C90&gt;0,IF(MAX(D88:E88)&lt;informatieblad!$Q$4,informatieblad!$P$3,IF(MAX(D88:E88)&gt;informatieblad!$R$4,informatieblad!$P$5,informatieblad!$P$4)),"")</f>
        <v/>
      </c>
      <c r="E89" s="472"/>
      <c r="F89" s="134" t="str">
        <f>A88&amp;"-"&amp;informatieblad!$B$13&amp;"-"&amp;B88&amp;"-"&amp;C88&amp;"-"&amp;D88&amp;"-"&amp;E88&amp;"-"&amp;F88&amp;"-"&amp;G88&amp;"-"&amp;H88&amp;"-"&amp;I88&amp;"-"&amp;J88&amp;"-"&amp;B89&amp;"-"&amp;G90</f>
        <v>-RctR-----0-0-0-0---Options None</v>
      </c>
      <c r="G89" s="88"/>
      <c r="H89" s="469" t="s">
        <v>82</v>
      </c>
      <c r="I89" s="470"/>
      <c r="J89" s="135" t="str">
        <f>(IF($C90&gt;0,(IF(240&gt;(MAX(C88-E88,E88-C88,B88-D88,D88-B88))/2*1.732,240,(MAX(C88-E88,E88-C88,B88-D88,D88-B88))/2*1.732)+30+30),""))</f>
        <v/>
      </c>
      <c r="O89" s="103">
        <f>A88</f>
        <v>0</v>
      </c>
      <c r="P89" s="104" t="s">
        <v>39</v>
      </c>
      <c r="Q89" s="104" t="s">
        <v>39</v>
      </c>
      <c r="R89" s="104" t="s">
        <v>40</v>
      </c>
      <c r="S89" s="104" t="s">
        <v>40</v>
      </c>
      <c r="T89" s="104" t="s">
        <v>40</v>
      </c>
      <c r="U89" s="105"/>
      <c r="V89" s="155" t="s">
        <v>27</v>
      </c>
      <c r="W89" s="155" t="s">
        <v>40</v>
      </c>
      <c r="X89" s="155" t="s">
        <v>41</v>
      </c>
      <c r="Y89" s="156" t="s">
        <v>91</v>
      </c>
      <c r="Z89" s="104" t="s">
        <v>92</v>
      </c>
      <c r="AA89" s="104"/>
      <c r="AC89" s="136" t="s">
        <v>91</v>
      </c>
      <c r="AD89" s="136" t="s">
        <v>92</v>
      </c>
      <c r="AE89" s="107"/>
      <c r="AF89" s="104" t="s">
        <v>40</v>
      </c>
      <c r="AG89" s="104" t="s">
        <v>41</v>
      </c>
      <c r="AH89" s="108"/>
      <c r="AI89" s="109"/>
      <c r="AK89" s="262" t="str">
        <f>informatieblad!$A$2</f>
        <v>FL20 loose</v>
      </c>
      <c r="AL89" s="263"/>
      <c r="AM89" s="262" t="str">
        <f>informatieblad!$A$3</f>
        <v>FL30 loose</v>
      </c>
      <c r="AN89" s="105"/>
      <c r="AO89" s="263" t="str">
        <f>informatieblad!$A$4</f>
        <v>FL40 loose</v>
      </c>
      <c r="AP89" s="105"/>
      <c r="AQ89" s="265"/>
      <c r="AR89" s="105"/>
      <c r="AT89" s="267"/>
      <c r="AV89" s="83" t="str">
        <f>'UC mounting materials '!$B$10</f>
        <v>Rail 30x15</v>
      </c>
      <c r="AW89" s="327">
        <f>IF(AA90&lt;1000,(AA90+100),0)*C90</f>
        <v>0</v>
      </c>
      <c r="AY89" s="265" t="s">
        <v>47</v>
      </c>
      <c r="AZ89" s="106" t="s">
        <v>48</v>
      </c>
      <c r="BA89" s="83" t="s">
        <v>23</v>
      </c>
      <c r="BB89" s="83" t="s">
        <v>23</v>
      </c>
      <c r="BC89" s="83" t="s">
        <v>23</v>
      </c>
      <c r="BD89" s="273" t="s">
        <v>23</v>
      </c>
    </row>
    <row r="90" spans="1:56" ht="15.75" customHeight="1" thickBot="1">
      <c r="A90" s="476"/>
      <c r="B90" s="137" t="s">
        <v>23</v>
      </c>
      <c r="C90" s="157"/>
      <c r="D90" s="139"/>
      <c r="E90" s="140">
        <f>C90*Q90</f>
        <v>0</v>
      </c>
      <c r="F90" s="141" t="s">
        <v>24</v>
      </c>
      <c r="G90" s="461" t="s">
        <v>25</v>
      </c>
      <c r="H90" s="473"/>
      <c r="I90" s="473"/>
      <c r="J90" s="474"/>
      <c r="O90" s="111"/>
      <c r="P90" s="112">
        <f>(((2*(Y90+Z90))*(J88))/1000000)</f>
        <v>0</v>
      </c>
      <c r="Q90" s="112">
        <f>((IF(P90&lt;=informatieblad!$I$13,informatieblad!$I$13,IF(P90&gt;=informatieblad!$I$13,P90))))</f>
        <v>0.5</v>
      </c>
      <c r="R90" s="158">
        <f>ROUND((((2*(Y90+Z90))*AB90)/1000000),2)</f>
        <v>0</v>
      </c>
      <c r="S90" s="112">
        <f>((IF(R90&lt;=informatieblad!$H$13,informatieblad!$H$13,IF(R90&gt;=informatieblad!$H$13,R90))))</f>
        <v>0</v>
      </c>
      <c r="T90" s="113">
        <f>((S90*AF90)+(S90*W90))*C90</f>
        <v>0</v>
      </c>
      <c r="U90" s="114">
        <f>((Q90*AG90)+(Q90*X90))*C90</f>
        <v>0</v>
      </c>
      <c r="V90" s="115" t="str">
        <f>G90</f>
        <v>Options None</v>
      </c>
      <c r="W90" s="115">
        <f>VLOOKUP(G90,informatieblad!$A$37:$D$41,2,FALSE)</f>
        <v>0</v>
      </c>
      <c r="X90" s="115">
        <f>VLOOKUP(G90,informatieblad!$A$37:$D$41,4,FALSE)</f>
        <v>0</v>
      </c>
      <c r="Y90" s="159">
        <f>(MAX(B88,D88))</f>
        <v>0</v>
      </c>
      <c r="Z90" s="160">
        <f>(MAX(C88,E88))</f>
        <v>0</v>
      </c>
      <c r="AA90" s="160">
        <f>(MAX(B88:E88))</f>
        <v>0</v>
      </c>
      <c r="AB90" s="161">
        <f>(MAX(AD90,AC90))</f>
        <v>0</v>
      </c>
      <c r="AC90" s="162">
        <f>ROUND((SQRT((((MAX(F88,G88))^2)+(J88^2)))),0)</f>
        <v>0</v>
      </c>
      <c r="AD90" s="163">
        <f>ROUND((SQRT((((MAX(H88,I88))^2)+(J88^2)))),0)</f>
        <v>0</v>
      </c>
      <c r="AE90" s="119">
        <f>LOOKUP(AA90,informatieblad!$C$27:$C$32,informatieblad!$A$27:$A$32)</f>
        <v>0.5</v>
      </c>
      <c r="AF90" s="118">
        <f>VLOOKUP(AE90,informatieblad!$A$27:$M$32,6,FALSE)</f>
        <v>0</v>
      </c>
      <c r="AG90" s="118">
        <f>VLOOKUP(AE90,informatieblad!$A$27:$M$32,8,FALSE)</f>
        <v>45.1248</v>
      </c>
      <c r="AH90" s="120">
        <f>VLOOKUP(AE90,informatieblad!$A$27:$M$32,13,FALSE)</f>
        <v>4</v>
      </c>
      <c r="AI90" s="121">
        <f>ROUND((AH90*S90),1)</f>
        <v>0</v>
      </c>
      <c r="AK90" s="111">
        <f>(IF(B89=AK88,((2*B88)+(2*C88)),IF(B89=AK89,((2*B88)+(2*C88)),0)))*C90</f>
        <v>0</v>
      </c>
      <c r="AL90" s="261">
        <f>(IF(D89=AK88,((2*D88)+(2*E88)),IF(D89=AK89,((2*D88)+(2*E88)),0)))*C90</f>
        <v>0</v>
      </c>
      <c r="AM90" s="111">
        <f>(IF(D89=AM88,((2*B88)+(2*C88)),IF(D89=AM89,((2*B88)+(2*C88)),0)))*C90</f>
        <v>0</v>
      </c>
      <c r="AN90" s="260">
        <f>(IF(D89=AM88,((2*D88)+(2*E88)),IF(D89=AM89,((2*D88)+(2*E88)),0)))*C90</f>
        <v>0</v>
      </c>
      <c r="AO90" s="261">
        <f>(IF(B89=AO88,((2*B88)+(2*C88)),IF(B89=AO89,((2*B88)+(2*C88)),0)))*C90</f>
        <v>0</v>
      </c>
      <c r="AP90" s="260">
        <f>(IF(D89=AO88,((2*D88)+(2*E88)),IF(D89=AO89,((2*D88)+(2*E88)),0)))*C90</f>
        <v>0</v>
      </c>
      <c r="AQ90" s="111">
        <f>(IF(B89=AQ88,((2*B88)+(2*C88)),0))*C90</f>
        <v>0</v>
      </c>
      <c r="AR90" s="260">
        <f>(IF(D89=AQ88,((2*D88)+(2*E88)),0))*C90</f>
        <v>0</v>
      </c>
      <c r="AT90" s="268">
        <f>J88*C90</f>
        <v>0</v>
      </c>
      <c r="AV90" s="83" t="str">
        <f>'UC mounting materials '!$B$11</f>
        <v>Rail 41x41</v>
      </c>
      <c r="AW90" s="268">
        <f>IF(AA90&gt;999,(AA90+100),0)*C90</f>
        <v>0</v>
      </c>
      <c r="AY90" s="111" t="str">
        <f>IF(B89=informatieblad!$A$6,informatieblad!$B$6,IF(B89=informatieblad!$A$7,informatieblad!$B$7,IF(B89=informatieblad!$A$8,informatieblad!$B$8,IF(B89=informatieblad!$A$2,informatieblad!$B$2,IF(B89=informatieblad!$A$3,informatieblad!$B$3,IF(B89=informatieblad!$A$4,informatieblad!$B$4,IF(B89=informatieblad!$A$5,informatieblad!$B$5,"")))))))</f>
        <v/>
      </c>
      <c r="AZ90" s="275" t="str">
        <f>IF(D89=informatieblad!$A$6,informatieblad!$B$6,IF(D89=informatieblad!$A$7,informatieblad!$B$7,IF(D89=informatieblad!$A$8,informatieblad!$B$8,IF(D89=informatieblad!$A$2,informatieblad!$B$2,IF(D89=informatieblad!$A$3,informatieblad!$B$3,IF(D89=informatieblad!$A$4,informatieblad!$B$4,IF(D89=informatieblad!$A$5,informatieblad!$B$5,"")))))))</f>
        <v/>
      </c>
      <c r="BA90" s="276">
        <f>IF(AY90=BA88,(4*C90),0)</f>
        <v>0</v>
      </c>
      <c r="BB90" s="276">
        <f>IF(AZ90=BA88,(4*C90),0)</f>
        <v>0</v>
      </c>
      <c r="BC90" s="276">
        <f>IF(AY90=BC88,(4*C90),0)</f>
        <v>0</v>
      </c>
      <c r="BD90" s="274">
        <f>IF(AZ90=BC88,(4*C90),0)</f>
        <v>0</v>
      </c>
    </row>
    <row r="91" spans="1:56" ht="5.0999999999999996" customHeight="1" thickBot="1">
      <c r="A91" s="145"/>
      <c r="B91" s="122"/>
      <c r="C91" s="122"/>
      <c r="D91" s="122"/>
      <c r="E91" s="122"/>
      <c r="F91" s="122"/>
      <c r="G91" s="122"/>
      <c r="H91" s="122"/>
      <c r="I91" s="122"/>
      <c r="J91" s="146"/>
      <c r="AY91" s="61"/>
      <c r="AZ91" s="62"/>
      <c r="BA91" s="62"/>
      <c r="BB91" s="62"/>
      <c r="BC91" s="62"/>
      <c r="BD91" s="63"/>
    </row>
    <row r="92" spans="1:56" ht="15.75" customHeight="1" thickBot="1">
      <c r="A92" s="445"/>
      <c r="B92" s="147"/>
      <c r="C92" s="147"/>
      <c r="D92" s="147"/>
      <c r="E92" s="147"/>
      <c r="F92" s="147">
        <f>(B92-D92)/2</f>
        <v>0</v>
      </c>
      <c r="G92" s="148">
        <f>(B92-D92)-F92</f>
        <v>0</v>
      </c>
      <c r="H92" s="149">
        <f>(C92-E92)/2</f>
        <v>0</v>
      </c>
      <c r="I92" s="150">
        <f>(C92-E92)-H92</f>
        <v>0</v>
      </c>
      <c r="J92" s="151"/>
      <c r="K92" s="345" t="s">
        <v>20</v>
      </c>
      <c r="O92" s="97" t="s">
        <v>14</v>
      </c>
      <c r="P92" s="98" t="s">
        <v>27</v>
      </c>
      <c r="Q92" s="98" t="s">
        <v>28</v>
      </c>
      <c r="R92" s="98" t="s">
        <v>27</v>
      </c>
      <c r="S92" s="98" t="s">
        <v>28</v>
      </c>
      <c r="T92" s="98" t="s">
        <v>29</v>
      </c>
      <c r="U92" s="66" t="s">
        <v>30</v>
      </c>
      <c r="V92" s="153" t="s">
        <v>31</v>
      </c>
      <c r="W92" s="153"/>
      <c r="X92" s="153"/>
      <c r="Y92" s="154" t="s">
        <v>83</v>
      </c>
      <c r="Z92" s="100" t="s">
        <v>83</v>
      </c>
      <c r="AA92" s="100" t="s">
        <v>83</v>
      </c>
      <c r="AB92" s="98" t="s">
        <v>84</v>
      </c>
      <c r="AC92" s="98" t="s">
        <v>89</v>
      </c>
      <c r="AD92" s="100" t="s">
        <v>90</v>
      </c>
      <c r="AE92" s="100" t="s">
        <v>34</v>
      </c>
      <c r="AF92" s="98" t="s">
        <v>32</v>
      </c>
      <c r="AG92" s="98" t="s">
        <v>32</v>
      </c>
      <c r="AH92" s="98" t="s">
        <v>49</v>
      </c>
      <c r="AI92" s="101" t="s">
        <v>36</v>
      </c>
      <c r="AK92" s="97" t="str">
        <f>informatieblad!$A$6</f>
        <v>FL20</v>
      </c>
      <c r="AL92" s="99"/>
      <c r="AM92" s="97" t="str">
        <f>informatieblad!$A$7</f>
        <v>FL30</v>
      </c>
      <c r="AN92" s="66"/>
      <c r="AO92" s="99" t="str">
        <f>informatieblad!$A$8</f>
        <v>FL40</v>
      </c>
      <c r="AP92" s="66"/>
      <c r="AQ92" s="97" t="str">
        <f>informatieblad!$A$5</f>
        <v>none</v>
      </c>
      <c r="AR92" s="264"/>
      <c r="AS92" s="62"/>
      <c r="AT92" s="266" t="s">
        <v>17</v>
      </c>
      <c r="AW92" s="266" t="s">
        <v>37</v>
      </c>
      <c r="AY92" s="269" t="s">
        <v>38</v>
      </c>
      <c r="AZ92" s="272"/>
      <c r="BA92" s="272">
        <f>informatieblad!$B$3</f>
        <v>0</v>
      </c>
      <c r="BB92" s="272">
        <f>informatieblad!$B$3</f>
        <v>0</v>
      </c>
      <c r="BC92" s="272">
        <f>informatieblad!$B$4</f>
        <v>0</v>
      </c>
      <c r="BD92" s="264">
        <f>informatieblad!$B$4</f>
        <v>0</v>
      </c>
    </row>
    <row r="93" spans="1:56" ht="15.75" customHeight="1">
      <c r="A93" s="446"/>
      <c r="B93" s="471" t="str">
        <f>IF($C94&gt;0,IF(MAX(B92:C92)&lt;informatieblad!$Q$4,informatieblad!$P$3,IF(MAX(B92:C92)&gt;informatieblad!$R$4,informatieblad!$P$5,informatieblad!$P$4)),"")</f>
        <v/>
      </c>
      <c r="C93" s="472"/>
      <c r="D93" s="471" t="str">
        <f>IF($C94&gt;0,IF(MAX(D92:E92)&lt;informatieblad!$Q$4,informatieblad!$P$3,IF(MAX(D92:E92)&gt;informatieblad!$R$4,informatieblad!$P$5,informatieblad!$P$4)),"")</f>
        <v/>
      </c>
      <c r="E93" s="472"/>
      <c r="F93" s="134" t="str">
        <f>A92&amp;"-"&amp;informatieblad!$B$13&amp;"-"&amp;B92&amp;"-"&amp;C92&amp;"-"&amp;D92&amp;"-"&amp;E92&amp;"-"&amp;F92&amp;"-"&amp;G92&amp;"-"&amp;H92&amp;"-"&amp;I92&amp;"-"&amp;J92&amp;"-"&amp;B93&amp;"-"&amp;G94</f>
        <v>-RctR-----0-0-0-0---Options None</v>
      </c>
      <c r="G93" s="88"/>
      <c r="H93" s="469" t="s">
        <v>82</v>
      </c>
      <c r="I93" s="470"/>
      <c r="J93" s="135" t="str">
        <f>(IF($C94&gt;0,(IF(240&gt;(MAX(C92-E92,E92-C92,B92-D92,D92-B92))/2*1.732,240,(MAX(C92-E92,E92-C92,B92-D92,D92-B92))/2*1.732)+30+30),""))</f>
        <v/>
      </c>
      <c r="O93" s="103">
        <f>A92</f>
        <v>0</v>
      </c>
      <c r="P93" s="104" t="s">
        <v>39</v>
      </c>
      <c r="Q93" s="104" t="s">
        <v>39</v>
      </c>
      <c r="R93" s="104" t="s">
        <v>40</v>
      </c>
      <c r="S93" s="104" t="s">
        <v>40</v>
      </c>
      <c r="T93" s="104" t="s">
        <v>40</v>
      </c>
      <c r="U93" s="105"/>
      <c r="V93" s="155" t="s">
        <v>27</v>
      </c>
      <c r="W93" s="155" t="s">
        <v>40</v>
      </c>
      <c r="X93" s="155" t="s">
        <v>41</v>
      </c>
      <c r="Y93" s="156" t="s">
        <v>91</v>
      </c>
      <c r="Z93" s="104" t="s">
        <v>92</v>
      </c>
      <c r="AA93" s="104"/>
      <c r="AC93" s="136" t="s">
        <v>91</v>
      </c>
      <c r="AD93" s="136" t="s">
        <v>92</v>
      </c>
      <c r="AE93" s="107"/>
      <c r="AF93" s="104" t="s">
        <v>40</v>
      </c>
      <c r="AG93" s="104" t="s">
        <v>41</v>
      </c>
      <c r="AH93" s="108"/>
      <c r="AI93" s="109"/>
      <c r="AK93" s="262" t="str">
        <f>informatieblad!$A$2</f>
        <v>FL20 loose</v>
      </c>
      <c r="AL93" s="263"/>
      <c r="AM93" s="262" t="str">
        <f>informatieblad!$A$3</f>
        <v>FL30 loose</v>
      </c>
      <c r="AN93" s="105"/>
      <c r="AO93" s="263" t="str">
        <f>informatieblad!$A$4</f>
        <v>FL40 loose</v>
      </c>
      <c r="AP93" s="105"/>
      <c r="AQ93" s="265"/>
      <c r="AR93" s="105"/>
      <c r="AT93" s="267"/>
      <c r="AV93" s="83" t="str">
        <f>'UC mounting materials '!$B$10</f>
        <v>Rail 30x15</v>
      </c>
      <c r="AW93" s="327">
        <f>IF(AA94&lt;1000,(AA94+100),0)*C94</f>
        <v>0</v>
      </c>
      <c r="AY93" s="265" t="s">
        <v>47</v>
      </c>
      <c r="AZ93" s="106" t="s">
        <v>48</v>
      </c>
      <c r="BA93" s="83" t="s">
        <v>23</v>
      </c>
      <c r="BB93" s="83" t="s">
        <v>23</v>
      </c>
      <c r="BC93" s="83" t="s">
        <v>23</v>
      </c>
      <c r="BD93" s="273" t="s">
        <v>23</v>
      </c>
    </row>
    <row r="94" spans="1:56" ht="15.75" customHeight="1" thickBot="1">
      <c r="A94" s="476"/>
      <c r="B94" s="137" t="s">
        <v>23</v>
      </c>
      <c r="C94" s="157"/>
      <c r="D94" s="139"/>
      <c r="E94" s="140">
        <f>C94*Q94</f>
        <v>0</v>
      </c>
      <c r="F94" s="141" t="s">
        <v>24</v>
      </c>
      <c r="G94" s="461" t="s">
        <v>25</v>
      </c>
      <c r="H94" s="473"/>
      <c r="I94" s="473"/>
      <c r="J94" s="474"/>
      <c r="O94" s="111"/>
      <c r="P94" s="112">
        <f>(((2*(Y94+Z94))*(J92))/1000000)</f>
        <v>0</v>
      </c>
      <c r="Q94" s="112">
        <f>((IF(P94&lt;=informatieblad!$I$13,informatieblad!$I$13,IF(P94&gt;=informatieblad!$I$13,P94))))</f>
        <v>0.5</v>
      </c>
      <c r="R94" s="158">
        <f>ROUND((((2*(Y94+Z94))*AB94)/1000000),2)</f>
        <v>0</v>
      </c>
      <c r="S94" s="158">
        <f>((IF(R94&lt;=informatieblad!$H$13,informatieblad!$H$13,IF(R94&gt;=informatieblad!$H$13,R94))))</f>
        <v>0</v>
      </c>
      <c r="T94" s="113">
        <f>((S94*AF94)+(S94*W94))*C94</f>
        <v>0</v>
      </c>
      <c r="U94" s="114">
        <f>((Q94*AG94)+(Q94*X94))*C94</f>
        <v>0</v>
      </c>
      <c r="V94" s="115" t="str">
        <f>G94</f>
        <v>Options None</v>
      </c>
      <c r="W94" s="115">
        <f>VLOOKUP(G94,informatieblad!$A$37:$D$41,2,FALSE)</f>
        <v>0</v>
      </c>
      <c r="X94" s="115">
        <f>VLOOKUP(G94,informatieblad!$A$37:$D$41,4,FALSE)</f>
        <v>0</v>
      </c>
      <c r="Y94" s="159">
        <f>(MAX(B92,D92))</f>
        <v>0</v>
      </c>
      <c r="Z94" s="160">
        <f>(MAX(C92,E92))</f>
        <v>0</v>
      </c>
      <c r="AA94" s="160">
        <f>(MAX(B92:E92))</f>
        <v>0</v>
      </c>
      <c r="AB94" s="161">
        <f>(MAX(AD94,AC94))</f>
        <v>0</v>
      </c>
      <c r="AC94" s="162">
        <f>ROUND((SQRT((((MAX(F92,G92))^2)+(J92^2)))),0)</f>
        <v>0</v>
      </c>
      <c r="AD94" s="163">
        <f>ROUND((SQRT((((MAX(H92,I92))^2)+(J92^2)))),0)</f>
        <v>0</v>
      </c>
      <c r="AE94" s="119">
        <f>LOOKUP(AA94,informatieblad!$C$27:$C$32,informatieblad!$A$27:$A$32)</f>
        <v>0.5</v>
      </c>
      <c r="AF94" s="118">
        <f>VLOOKUP(AE94,informatieblad!$A$27:$M$32,6,FALSE)</f>
        <v>0</v>
      </c>
      <c r="AG94" s="118">
        <f>VLOOKUP(AE94,informatieblad!$A$27:$M$32,8,FALSE)</f>
        <v>45.1248</v>
      </c>
      <c r="AH94" s="120">
        <f>VLOOKUP(AE94,informatieblad!$A$27:$M$32,13,FALSE)</f>
        <v>4</v>
      </c>
      <c r="AI94" s="121">
        <f>ROUND((AH94*S94),1)</f>
        <v>0</v>
      </c>
      <c r="AK94" s="111">
        <f>(IF(B93=AK92,((2*B92)+(2*C92)),IF(B93=AK93,((2*B92)+(2*C92)),0)))*C94</f>
        <v>0</v>
      </c>
      <c r="AL94" s="261">
        <f>(IF(D93=AK92,((2*D92)+(2*E92)),IF(D93=AK93,((2*D92)+(2*E92)),0)))*C94</f>
        <v>0</v>
      </c>
      <c r="AM94" s="111">
        <f>(IF(D93=AM92,((2*B92)+(2*C92)),IF(D93=AM93,((2*B92)+(2*C92)),0)))*C94</f>
        <v>0</v>
      </c>
      <c r="AN94" s="260">
        <f>(IF(D93=AM92,((2*D92)+(2*E92)),IF(D93=AM93,((2*D92)+(2*E92)),0)))*C94</f>
        <v>0</v>
      </c>
      <c r="AO94" s="261">
        <f>(IF(B93=AO92,((2*B92)+(2*C92)),IF(B93=AO93,((2*B92)+(2*C92)),0)))*C94</f>
        <v>0</v>
      </c>
      <c r="AP94" s="260">
        <f>(IF(D93=AO92,((2*D92)+(2*E92)),IF(D93=AO93,((2*D92)+(2*E92)),0)))*C94</f>
        <v>0</v>
      </c>
      <c r="AQ94" s="111">
        <f>(IF(B93=AQ92,((2*B92)+(2*C92)),0))*C94</f>
        <v>0</v>
      </c>
      <c r="AR94" s="260">
        <f>(IF(D93=AQ92,((2*D92)+(2*E92)),0))*C94</f>
        <v>0</v>
      </c>
      <c r="AS94" s="72"/>
      <c r="AT94" s="268">
        <f>J92*C94</f>
        <v>0</v>
      </c>
      <c r="AV94" s="83" t="str">
        <f>'UC mounting materials '!$B$11</f>
        <v>Rail 41x41</v>
      </c>
      <c r="AW94" s="268">
        <f>IF(AA94&gt;999,(AA94+100),0)*C94</f>
        <v>0</v>
      </c>
      <c r="AY94" s="111" t="str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/>
      </c>
      <c r="AZ94" s="275" t="str">
        <f>IF(D93=informatieblad!$A$6,informatieblad!$B$6,IF(D93=informatieblad!$A$7,informatieblad!$B$7,IF(D93=informatieblad!$A$8,informatieblad!$B$8,IF(D93=informatieblad!$A$2,informatieblad!$B$2,IF(D93=informatieblad!$A$3,informatieblad!$B$3,IF(D93=informatieblad!$A$4,informatieblad!$B$4,IF(D93=informatieblad!$A$5,informatieblad!$B$5,"")))))))</f>
        <v/>
      </c>
      <c r="BA94" s="276">
        <f>IF(AY94=BA92,(4*C94),0)</f>
        <v>0</v>
      </c>
      <c r="BB94" s="276">
        <f>IF(AZ94=BA92,(4*C94),0)</f>
        <v>0</v>
      </c>
      <c r="BC94" s="276">
        <f>IF(AY94=BC92,(4*C94),0)</f>
        <v>0</v>
      </c>
      <c r="BD94" s="274">
        <f>IF(AZ94=BC92,(4*C94),0)</f>
        <v>0</v>
      </c>
    </row>
    <row r="95" spans="1:56" ht="5.0999999999999996" customHeight="1" thickBot="1">
      <c r="A95" s="145"/>
      <c r="B95" s="122"/>
      <c r="C95" s="122"/>
      <c r="D95" s="122"/>
      <c r="E95" s="122"/>
      <c r="F95" s="122"/>
      <c r="G95" s="122"/>
      <c r="H95" s="122"/>
      <c r="I95" s="122"/>
      <c r="J95" s="146"/>
      <c r="AY95" s="61"/>
      <c r="AZ95" s="62"/>
      <c r="BA95" s="62"/>
      <c r="BB95" s="62"/>
      <c r="BC95" s="62"/>
      <c r="BD95" s="63"/>
    </row>
    <row r="96" spans="1:56" ht="15.75" customHeight="1" thickBot="1">
      <c r="A96" s="445"/>
      <c r="B96" s="147"/>
      <c r="C96" s="147"/>
      <c r="D96" s="147"/>
      <c r="E96" s="147"/>
      <c r="F96" s="147">
        <f>(B96-D96)/2</f>
        <v>0</v>
      </c>
      <c r="G96" s="148">
        <f>(B96-D96)-F96</f>
        <v>0</v>
      </c>
      <c r="H96" s="149">
        <f>(C96-E96)/2</f>
        <v>0</v>
      </c>
      <c r="I96" s="150">
        <f>(C96-E96)-H96</f>
        <v>0</v>
      </c>
      <c r="J96" s="151"/>
      <c r="K96" s="345" t="s">
        <v>20</v>
      </c>
      <c r="O96" s="97" t="s">
        <v>14</v>
      </c>
      <c r="P96" s="98" t="s">
        <v>27</v>
      </c>
      <c r="Q96" s="98" t="s">
        <v>28</v>
      </c>
      <c r="R96" s="98" t="s">
        <v>27</v>
      </c>
      <c r="S96" s="98" t="s">
        <v>28</v>
      </c>
      <c r="T96" s="98" t="s">
        <v>29</v>
      </c>
      <c r="U96" s="66" t="s">
        <v>30</v>
      </c>
      <c r="V96" s="153" t="s">
        <v>31</v>
      </c>
      <c r="W96" s="153"/>
      <c r="X96" s="153"/>
      <c r="Y96" s="154" t="s">
        <v>83</v>
      </c>
      <c r="Z96" s="100" t="s">
        <v>83</v>
      </c>
      <c r="AA96" s="100" t="s">
        <v>83</v>
      </c>
      <c r="AB96" s="98" t="s">
        <v>84</v>
      </c>
      <c r="AC96" s="98" t="s">
        <v>93</v>
      </c>
      <c r="AD96" s="100" t="s">
        <v>94</v>
      </c>
      <c r="AE96" s="100" t="s">
        <v>34</v>
      </c>
      <c r="AF96" s="98" t="s">
        <v>32</v>
      </c>
      <c r="AG96" s="98" t="s">
        <v>32</v>
      </c>
      <c r="AH96" s="98" t="s">
        <v>50</v>
      </c>
      <c r="AI96" s="101" t="s">
        <v>36</v>
      </c>
      <c r="AK96" s="97" t="str">
        <f>informatieblad!$A$6</f>
        <v>FL20</v>
      </c>
      <c r="AL96" s="99"/>
      <c r="AM96" s="97" t="str">
        <f>informatieblad!$A$7</f>
        <v>FL30</v>
      </c>
      <c r="AN96" s="66"/>
      <c r="AO96" s="99" t="str">
        <f>informatieblad!$A$8</f>
        <v>FL40</v>
      </c>
      <c r="AP96" s="66"/>
      <c r="AQ96" s="97" t="str">
        <f>informatieblad!$A$5</f>
        <v>none</v>
      </c>
      <c r="AR96" s="264"/>
      <c r="AS96" s="62"/>
      <c r="AT96" s="266" t="s">
        <v>17</v>
      </c>
      <c r="AW96" s="266" t="s">
        <v>37</v>
      </c>
      <c r="AY96" s="269" t="s">
        <v>38</v>
      </c>
      <c r="AZ96" s="272"/>
      <c r="BA96" s="272">
        <f>informatieblad!$B$3</f>
        <v>0</v>
      </c>
      <c r="BB96" s="272">
        <f>informatieblad!$B$3</f>
        <v>0</v>
      </c>
      <c r="BC96" s="272">
        <f>informatieblad!$B$4</f>
        <v>0</v>
      </c>
      <c r="BD96" s="264">
        <f>informatieblad!$B$4</f>
        <v>0</v>
      </c>
    </row>
    <row r="97" spans="1:56" ht="15.75" customHeight="1">
      <c r="A97" s="446"/>
      <c r="B97" s="471" t="str">
        <f>IF($C98&gt;0,IF(MAX(B96:C96)&lt;informatieblad!$Q$4,informatieblad!$P$3,IF(MAX(B96:C96)&gt;informatieblad!$R$4,informatieblad!$P$5,informatieblad!$P$4)),"")</f>
        <v/>
      </c>
      <c r="C97" s="472"/>
      <c r="D97" s="471" t="str">
        <f>IF($C98&gt;0,IF(MAX(D96:E96)&lt;informatieblad!$Q$4,informatieblad!$P$3,IF(MAX(D96:E96)&gt;informatieblad!$R$4,informatieblad!$P$5,informatieblad!$P$4)),"")</f>
        <v/>
      </c>
      <c r="E97" s="472"/>
      <c r="F97" s="134" t="str">
        <f>A96&amp;"-"&amp;informatieblad!$B$13&amp;"-"&amp;B96&amp;"-"&amp;C96&amp;"-"&amp;D96&amp;"-"&amp;E96&amp;"-"&amp;F96&amp;"-"&amp;G96&amp;"-"&amp;H96&amp;"-"&amp;I96&amp;"-"&amp;J96&amp;"-"&amp;B97&amp;"-"&amp;G98</f>
        <v>-RctR-----0-0-0-0---Options None</v>
      </c>
      <c r="G97" s="88"/>
      <c r="H97" s="469" t="s">
        <v>82</v>
      </c>
      <c r="I97" s="470"/>
      <c r="J97" s="135" t="str">
        <f>(IF($C98&gt;0,(IF(240&gt;(MAX(C96-E96,E96-C96,B96-D96,D96-B96))/2*1.732,240,(MAX(C96-E96,E96-C96,B96-D96,D96-B96))/2*1.732)+30+30),""))</f>
        <v/>
      </c>
      <c r="O97" s="103">
        <f>A96</f>
        <v>0</v>
      </c>
      <c r="P97" s="104" t="s">
        <v>39</v>
      </c>
      <c r="Q97" s="104" t="s">
        <v>39</v>
      </c>
      <c r="R97" s="104" t="s">
        <v>40</v>
      </c>
      <c r="S97" s="104" t="s">
        <v>40</v>
      </c>
      <c r="T97" s="104" t="s">
        <v>40</v>
      </c>
      <c r="U97" s="105"/>
      <c r="V97" s="155" t="s">
        <v>27</v>
      </c>
      <c r="W97" s="155" t="s">
        <v>40</v>
      </c>
      <c r="X97" s="155" t="s">
        <v>41</v>
      </c>
      <c r="Y97" s="156" t="s">
        <v>95</v>
      </c>
      <c r="Z97" s="104" t="s">
        <v>96</v>
      </c>
      <c r="AA97" s="104"/>
      <c r="AC97" s="136" t="s">
        <v>95</v>
      </c>
      <c r="AD97" s="136" t="s">
        <v>96</v>
      </c>
      <c r="AE97" s="107"/>
      <c r="AF97" s="104" t="s">
        <v>40</v>
      </c>
      <c r="AG97" s="104" t="s">
        <v>41</v>
      </c>
      <c r="AH97" s="108"/>
      <c r="AI97" s="109"/>
      <c r="AK97" s="262" t="str">
        <f>informatieblad!$A$2</f>
        <v>FL20 loose</v>
      </c>
      <c r="AL97" s="263"/>
      <c r="AM97" s="262" t="str">
        <f>informatieblad!$A$3</f>
        <v>FL30 loose</v>
      </c>
      <c r="AN97" s="105"/>
      <c r="AO97" s="263" t="str">
        <f>informatieblad!$A$4</f>
        <v>FL40 loose</v>
      </c>
      <c r="AP97" s="105"/>
      <c r="AQ97" s="265"/>
      <c r="AR97" s="105"/>
      <c r="AT97" s="267"/>
      <c r="AV97" s="83" t="str">
        <f>'UC mounting materials '!$B$10</f>
        <v>Rail 30x15</v>
      </c>
      <c r="AW97" s="327">
        <f>IF(AA98&lt;1000,(AA98+100),0)*C98</f>
        <v>0</v>
      </c>
      <c r="AY97" s="265" t="s">
        <v>47</v>
      </c>
      <c r="AZ97" s="106" t="s">
        <v>48</v>
      </c>
      <c r="BA97" s="83" t="s">
        <v>23</v>
      </c>
      <c r="BB97" s="83" t="s">
        <v>23</v>
      </c>
      <c r="BC97" s="83" t="s">
        <v>23</v>
      </c>
      <c r="BD97" s="273" t="s">
        <v>23</v>
      </c>
    </row>
    <row r="98" spans="1:56" ht="15.75" customHeight="1" thickBot="1">
      <c r="A98" s="476"/>
      <c r="B98" s="137" t="s">
        <v>23</v>
      </c>
      <c r="C98" s="157"/>
      <c r="D98" s="139"/>
      <c r="E98" s="140">
        <f>C98*Q98</f>
        <v>0</v>
      </c>
      <c r="F98" s="141" t="s">
        <v>24</v>
      </c>
      <c r="G98" s="461" t="s">
        <v>25</v>
      </c>
      <c r="H98" s="473"/>
      <c r="I98" s="473"/>
      <c r="J98" s="474"/>
      <c r="O98" s="111"/>
      <c r="P98" s="112">
        <f>(((2*(Y98+Z98))*(J96))/1000000)</f>
        <v>0</v>
      </c>
      <c r="Q98" s="112">
        <f>((IF(P98&lt;=informatieblad!$I$13,informatieblad!$I$13,IF(P98&gt;=informatieblad!$I$13,P98))))</f>
        <v>0.5</v>
      </c>
      <c r="R98" s="158">
        <f>ROUND((((2*(Y98+Z98))*AB98)/1000000),2)</f>
        <v>0</v>
      </c>
      <c r="S98" s="158">
        <f>((IF(R98&lt;=informatieblad!$H$13,informatieblad!$H$13,IF(R98&gt;=informatieblad!$H$13,R98))))</f>
        <v>0</v>
      </c>
      <c r="T98" s="113">
        <f>((S98*AF98)+(S98*W98))*C98</f>
        <v>0</v>
      </c>
      <c r="U98" s="114">
        <f>((Q98*AG98)+(Q98*X98))*C98</f>
        <v>0</v>
      </c>
      <c r="V98" s="115" t="str">
        <f>G98</f>
        <v>Options None</v>
      </c>
      <c r="W98" s="115">
        <f>VLOOKUP(G98,informatieblad!$A$37:$D$41,2,FALSE)</f>
        <v>0</v>
      </c>
      <c r="X98" s="115">
        <f>VLOOKUP(G98,informatieblad!$A$37:$D$41,4,FALSE)</f>
        <v>0</v>
      </c>
      <c r="Y98" s="159">
        <f>(MAX(B96,D96))</f>
        <v>0</v>
      </c>
      <c r="Z98" s="160">
        <f>(MAX(C96,E96))</f>
        <v>0</v>
      </c>
      <c r="AA98" s="160">
        <f>(MAX(B96:E96))</f>
        <v>0</v>
      </c>
      <c r="AB98" s="161">
        <f>(MAX(AD98,AC98))</f>
        <v>0</v>
      </c>
      <c r="AC98" s="162">
        <f>ROUND((SQRT((((MAX(F96,G96))^2)+(J96^2)))),0)</f>
        <v>0</v>
      </c>
      <c r="AD98" s="163">
        <f>ROUND((SQRT((((MAX(H96,I96))^2)+(J96^2)))),0)</f>
        <v>0</v>
      </c>
      <c r="AE98" s="119">
        <f>LOOKUP(AA98,informatieblad!$C$27:$C$32,informatieblad!$A$27:$A$32)</f>
        <v>0.5</v>
      </c>
      <c r="AF98" s="118">
        <f>VLOOKUP(AE98,informatieblad!$A$27:$M$32,6,FALSE)</f>
        <v>0</v>
      </c>
      <c r="AG98" s="118">
        <f>VLOOKUP(AE98,informatieblad!$A$27:$M$32,8,FALSE)</f>
        <v>45.1248</v>
      </c>
      <c r="AH98" s="120">
        <f>VLOOKUP(AE98,informatieblad!$A$27:$M$32,13,FALSE)</f>
        <v>4</v>
      </c>
      <c r="AI98" s="121">
        <f>ROUND((AH98*S98),1)</f>
        <v>0</v>
      </c>
      <c r="AK98" s="111">
        <f>(IF(B97=AK96,((2*B96)+(2*C96)),IF(B97=AK97,((2*B96)+(2*C96)),0)))*C98</f>
        <v>0</v>
      </c>
      <c r="AL98" s="261">
        <f>(IF(D97=AK96,((2*D96)+(2*E96)),IF(D97=AK97,((2*D96)+(2*E96)),0)))*C98</f>
        <v>0</v>
      </c>
      <c r="AM98" s="111">
        <f>(IF(D97=AM96,((2*B96)+(2*C96)),IF(D97=AM97,((2*B96)+(2*C96)),0)))*C98</f>
        <v>0</v>
      </c>
      <c r="AN98" s="260">
        <f>(IF(D97=AM96,((2*D96)+(2*E96)),IF(D97=AM97,((2*D96)+(2*E96)),0)))*C98</f>
        <v>0</v>
      </c>
      <c r="AO98" s="261">
        <f>(IF(B97=AO96,((2*B96)+(2*C96)),IF(B97=AO97,((2*B96)+(2*C96)),0)))*C98</f>
        <v>0</v>
      </c>
      <c r="AP98" s="260">
        <f>(IF(D97=AO96,((2*D96)+(2*E96)),IF(D97=AO97,((2*D96)+(2*E96)),0)))*C98</f>
        <v>0</v>
      </c>
      <c r="AQ98" s="111">
        <f>(IF(B97=AQ96,((2*B96)+(2*C96)),0))*C98</f>
        <v>0</v>
      </c>
      <c r="AR98" s="260">
        <f>(IF(D97=AQ96,((2*D96)+(2*E96)),0))*C98</f>
        <v>0</v>
      </c>
      <c r="AS98" s="72"/>
      <c r="AT98" s="268">
        <f>J96*C98</f>
        <v>0</v>
      </c>
      <c r="AV98" s="83" t="str">
        <f>'UC mounting materials '!$B$11</f>
        <v>Rail 41x41</v>
      </c>
      <c r="AW98" s="268">
        <f>IF(AA98&gt;999,(AA98+100),0)*C98</f>
        <v>0</v>
      </c>
      <c r="AY98" s="111" t="str">
        <f>IF(B97=informatieblad!$A$6,informatieblad!$B$6,IF(B97=informatieblad!$A$7,informatieblad!$B$7,IF(B97=informatieblad!$A$8,informatieblad!$B$8,IF(B97=informatieblad!$A$2,informatieblad!$B$2,IF(B97=informatieblad!$A$3,informatieblad!$B$3,IF(B97=informatieblad!$A$4,informatieblad!$B$4,IF(B97=informatieblad!$A$5,informatieblad!$B$5,"")))))))</f>
        <v/>
      </c>
      <c r="AZ98" s="275" t="str">
        <f>IF(D97=informatieblad!$A$6,informatieblad!$B$6,IF(D97=informatieblad!$A$7,informatieblad!$B$7,IF(D97=informatieblad!$A$8,informatieblad!$B$8,IF(D97=informatieblad!$A$2,informatieblad!$B$2,IF(D97=informatieblad!$A$3,informatieblad!$B$3,IF(D97=informatieblad!$A$4,informatieblad!$B$4,IF(D97=informatieblad!$A$5,informatieblad!$B$5,"")))))))</f>
        <v/>
      </c>
      <c r="BA98" s="276">
        <f>IF(AY98=BA96,(4*C98),0)</f>
        <v>0</v>
      </c>
      <c r="BB98" s="276">
        <f>IF(AZ98=BA96,(4*C98),0)</f>
        <v>0</v>
      </c>
      <c r="BC98" s="276">
        <f>IF(AY98=BC96,(4*C98),0)</f>
        <v>0</v>
      </c>
      <c r="BD98" s="274">
        <f>IF(AZ98=BC96,(4*C98),0)</f>
        <v>0</v>
      </c>
    </row>
    <row r="99" spans="1:56" ht="5.0999999999999996" customHeight="1" thickBot="1">
      <c r="A99" s="145"/>
      <c r="B99" s="122"/>
      <c r="C99" s="122"/>
      <c r="D99" s="122"/>
      <c r="E99" s="122"/>
      <c r="F99" s="122"/>
      <c r="G99" s="122"/>
      <c r="H99" s="122"/>
      <c r="I99" s="122"/>
      <c r="J99" s="146"/>
      <c r="AY99" s="61"/>
      <c r="AZ99" s="62"/>
      <c r="BA99" s="62"/>
      <c r="BB99" s="62"/>
      <c r="BC99" s="62"/>
      <c r="BD99" s="63"/>
    </row>
    <row r="100" spans="1:56" ht="15.75" customHeight="1" thickBot="1">
      <c r="A100" s="445"/>
      <c r="B100" s="147"/>
      <c r="C100" s="147"/>
      <c r="D100" s="147"/>
      <c r="E100" s="147"/>
      <c r="F100" s="147">
        <f>(B100-D100)/2</f>
        <v>0</v>
      </c>
      <c r="G100" s="148">
        <f>(B100-D100)-F100</f>
        <v>0</v>
      </c>
      <c r="H100" s="149">
        <f>(C100-E100)/2</f>
        <v>0</v>
      </c>
      <c r="I100" s="150">
        <f>(C100-E100)-H100</f>
        <v>0</v>
      </c>
      <c r="J100" s="151"/>
      <c r="K100" s="345" t="s">
        <v>20</v>
      </c>
      <c r="O100" s="97" t="s">
        <v>14</v>
      </c>
      <c r="P100" s="98" t="s">
        <v>27</v>
      </c>
      <c r="Q100" s="98" t="s">
        <v>28</v>
      </c>
      <c r="R100" s="98" t="s">
        <v>27</v>
      </c>
      <c r="S100" s="98" t="s">
        <v>28</v>
      </c>
      <c r="T100" s="98" t="s">
        <v>29</v>
      </c>
      <c r="U100" s="66" t="s">
        <v>30</v>
      </c>
      <c r="V100" s="153" t="s">
        <v>31</v>
      </c>
      <c r="W100" s="153"/>
      <c r="X100" s="153"/>
      <c r="Y100" s="154" t="s">
        <v>83</v>
      </c>
      <c r="Z100" s="100" t="s">
        <v>83</v>
      </c>
      <c r="AA100" s="100" t="s">
        <v>83</v>
      </c>
      <c r="AB100" s="98" t="s">
        <v>84</v>
      </c>
      <c r="AC100" s="98" t="s">
        <v>93</v>
      </c>
      <c r="AD100" s="100" t="s">
        <v>94</v>
      </c>
      <c r="AE100" s="100" t="s">
        <v>34</v>
      </c>
      <c r="AF100" s="98" t="s">
        <v>32</v>
      </c>
      <c r="AG100" s="98" t="s">
        <v>32</v>
      </c>
      <c r="AH100" s="98" t="s">
        <v>50</v>
      </c>
      <c r="AI100" s="101" t="s">
        <v>36</v>
      </c>
      <c r="AK100" s="97" t="str">
        <f>informatieblad!$A$6</f>
        <v>FL20</v>
      </c>
      <c r="AL100" s="99"/>
      <c r="AM100" s="97" t="str">
        <f>informatieblad!$A$7</f>
        <v>FL30</v>
      </c>
      <c r="AN100" s="66"/>
      <c r="AO100" s="99" t="str">
        <f>informatieblad!$A$8</f>
        <v>FL40</v>
      </c>
      <c r="AP100" s="66"/>
      <c r="AQ100" s="97" t="str">
        <f>informatieblad!$A$5</f>
        <v>none</v>
      </c>
      <c r="AR100" s="264"/>
      <c r="AS100" s="62"/>
      <c r="AT100" s="266" t="s">
        <v>17</v>
      </c>
      <c r="AW100" s="266" t="s">
        <v>37</v>
      </c>
      <c r="AY100" s="269" t="s">
        <v>38</v>
      </c>
      <c r="AZ100" s="272"/>
      <c r="BA100" s="272">
        <f>informatieblad!$B$3</f>
        <v>0</v>
      </c>
      <c r="BB100" s="272">
        <f>informatieblad!$B$3</f>
        <v>0</v>
      </c>
      <c r="BC100" s="272">
        <f>informatieblad!$B$4</f>
        <v>0</v>
      </c>
      <c r="BD100" s="264">
        <f>informatieblad!$B$4</f>
        <v>0</v>
      </c>
    </row>
    <row r="101" spans="1:56" ht="15.75" customHeight="1">
      <c r="A101" s="446"/>
      <c r="B101" s="471" t="str">
        <f>IF($C102&gt;0,IF(MAX(B100:C100)&lt;informatieblad!$Q$4,informatieblad!$P$3,IF(MAX(B100:C100)&gt;informatieblad!$R$4,informatieblad!$P$5,informatieblad!$P$4)),"")</f>
        <v/>
      </c>
      <c r="C101" s="472"/>
      <c r="D101" s="471" t="str">
        <f>IF($C102&gt;0,IF(MAX(D100:E100)&lt;informatieblad!$Q$4,informatieblad!$P$3,IF(MAX(D100:E100)&gt;informatieblad!$R$4,informatieblad!$P$5,informatieblad!$P$4)),"")</f>
        <v/>
      </c>
      <c r="E101" s="472"/>
      <c r="F101" s="134" t="str">
        <f>A100&amp;"-"&amp;informatieblad!$B$13&amp;"-"&amp;B100&amp;"-"&amp;C100&amp;"-"&amp;D100&amp;"-"&amp;E100&amp;"-"&amp;F100&amp;"-"&amp;G100&amp;"-"&amp;H100&amp;"-"&amp;I100&amp;"-"&amp;J100&amp;"-"&amp;B101&amp;"-"&amp;G102</f>
        <v>-RctR-----0-0-0-0---Options None</v>
      </c>
      <c r="G101" s="88"/>
      <c r="H101" s="469" t="s">
        <v>82</v>
      </c>
      <c r="I101" s="470"/>
      <c r="J101" s="135" t="str">
        <f>(IF($C102&gt;0,(IF(240&gt;(MAX(C100-E100,E100-C100,B100-D100,D100-B100))/2*1.732,240,(MAX(C100-E100,E100-C100,B100-D100,D100-B100))/2*1.732)+30+30),""))</f>
        <v/>
      </c>
      <c r="O101" s="103">
        <f>A100</f>
        <v>0</v>
      </c>
      <c r="P101" s="104" t="s">
        <v>39</v>
      </c>
      <c r="Q101" s="104" t="s">
        <v>39</v>
      </c>
      <c r="R101" s="104" t="s">
        <v>40</v>
      </c>
      <c r="S101" s="104" t="s">
        <v>40</v>
      </c>
      <c r="T101" s="104" t="s">
        <v>40</v>
      </c>
      <c r="U101" s="105"/>
      <c r="V101" s="155" t="s">
        <v>27</v>
      </c>
      <c r="W101" s="155" t="s">
        <v>40</v>
      </c>
      <c r="X101" s="155" t="s">
        <v>41</v>
      </c>
      <c r="Y101" s="156" t="s">
        <v>95</v>
      </c>
      <c r="Z101" s="104" t="s">
        <v>96</v>
      </c>
      <c r="AA101" s="104"/>
      <c r="AC101" s="136" t="s">
        <v>95</v>
      </c>
      <c r="AD101" s="136" t="s">
        <v>96</v>
      </c>
      <c r="AE101" s="107"/>
      <c r="AF101" s="104" t="s">
        <v>40</v>
      </c>
      <c r="AG101" s="104" t="s">
        <v>41</v>
      </c>
      <c r="AH101" s="108"/>
      <c r="AI101" s="109"/>
      <c r="AK101" s="262" t="str">
        <f>informatieblad!$A$2</f>
        <v>FL20 loose</v>
      </c>
      <c r="AL101" s="263"/>
      <c r="AM101" s="262" t="str">
        <f>informatieblad!$A$3</f>
        <v>FL30 loose</v>
      </c>
      <c r="AN101" s="105"/>
      <c r="AO101" s="263" t="str">
        <f>informatieblad!$A$4</f>
        <v>FL40 loose</v>
      </c>
      <c r="AP101" s="105"/>
      <c r="AQ101" s="265"/>
      <c r="AR101" s="105"/>
      <c r="AT101" s="267"/>
      <c r="AV101" s="83" t="str">
        <f>'UC mounting materials '!$B$10</f>
        <v>Rail 30x15</v>
      </c>
      <c r="AW101" s="327">
        <f>IF(AA102&lt;1000,(AA102+100),0)*C102</f>
        <v>0</v>
      </c>
      <c r="AY101" s="265" t="s">
        <v>47</v>
      </c>
      <c r="AZ101" s="106" t="s">
        <v>48</v>
      </c>
      <c r="BA101" s="83" t="s">
        <v>23</v>
      </c>
      <c r="BB101" s="83" t="s">
        <v>23</v>
      </c>
      <c r="BC101" s="83" t="s">
        <v>23</v>
      </c>
      <c r="BD101" s="273" t="s">
        <v>23</v>
      </c>
    </row>
    <row r="102" spans="1:56" ht="15.75" customHeight="1" thickBot="1">
      <c r="A102" s="476"/>
      <c r="B102" s="137" t="s">
        <v>23</v>
      </c>
      <c r="C102" s="157"/>
      <c r="D102" s="139"/>
      <c r="E102" s="140">
        <f>C102*Q102</f>
        <v>0</v>
      </c>
      <c r="F102" s="141" t="s">
        <v>24</v>
      </c>
      <c r="G102" s="461" t="s">
        <v>25</v>
      </c>
      <c r="H102" s="473"/>
      <c r="I102" s="473"/>
      <c r="J102" s="474"/>
      <c r="O102" s="111"/>
      <c r="P102" s="112">
        <f>(((2*(Y102+Z102))*(J100))/1000000)</f>
        <v>0</v>
      </c>
      <c r="Q102" s="112">
        <f>((IF(P102&lt;=informatieblad!$I$13,informatieblad!$I$13,IF(P102&gt;=informatieblad!$I$13,P102))))</f>
        <v>0.5</v>
      </c>
      <c r="R102" s="158">
        <f>ROUND((((2*(Y102+Z102))*AB102)/1000000),2)</f>
        <v>0</v>
      </c>
      <c r="S102" s="158">
        <f>((IF(R102&lt;=informatieblad!$H$13,informatieblad!$H$13,IF(R102&gt;=informatieblad!$H$13,R102))))</f>
        <v>0</v>
      </c>
      <c r="T102" s="113">
        <f>((S102*AF102)+(S102*W102))*C102</f>
        <v>0</v>
      </c>
      <c r="U102" s="114">
        <f>((Q102*AG102)+(Q102*X102))*C102</f>
        <v>0</v>
      </c>
      <c r="V102" s="115" t="str">
        <f>G102</f>
        <v>Options None</v>
      </c>
      <c r="W102" s="115">
        <f>VLOOKUP(G102,informatieblad!$A$37:$D$41,2,FALSE)</f>
        <v>0</v>
      </c>
      <c r="X102" s="115">
        <f>VLOOKUP(G102,informatieblad!$A$37:$D$41,4,FALSE)</f>
        <v>0</v>
      </c>
      <c r="Y102" s="159">
        <f>(MAX(B100,D100))</f>
        <v>0</v>
      </c>
      <c r="Z102" s="160">
        <f>(MAX(C100,E100))</f>
        <v>0</v>
      </c>
      <c r="AA102" s="160">
        <f>(MAX(B100:E100))</f>
        <v>0</v>
      </c>
      <c r="AB102" s="161">
        <f>(MAX(AD102,AC102))</f>
        <v>0</v>
      </c>
      <c r="AC102" s="162">
        <f>ROUND((SQRT((((MAX(F100,G100))^2)+(J100^2)))),0)</f>
        <v>0</v>
      </c>
      <c r="AD102" s="163">
        <f>ROUND((SQRT((((MAX(H100,I100))^2)+(J100^2)))),0)</f>
        <v>0</v>
      </c>
      <c r="AE102" s="119">
        <f>LOOKUP(AA102,informatieblad!$C$27:$C$32,informatieblad!$A$27:$A$32)</f>
        <v>0.5</v>
      </c>
      <c r="AF102" s="118">
        <f>VLOOKUP(AE102,informatieblad!$A$27:$M$32,6,FALSE)</f>
        <v>0</v>
      </c>
      <c r="AG102" s="118">
        <f>VLOOKUP(AE102,informatieblad!$A$27:$M$32,8,FALSE)</f>
        <v>45.1248</v>
      </c>
      <c r="AH102" s="120">
        <f>VLOOKUP(AE102,informatieblad!$A$27:$M$32,13,FALSE)</f>
        <v>4</v>
      </c>
      <c r="AI102" s="121">
        <f>ROUND((AH102*S102),1)</f>
        <v>0</v>
      </c>
      <c r="AK102" s="111">
        <f>(IF(B101=AK100,((2*B100)+(2*C100)),IF(B101=AK101,((2*B100)+(2*C100)),0)))*C102</f>
        <v>0</v>
      </c>
      <c r="AL102" s="261">
        <f>(IF(D101=AK100,((2*D100)+(2*E100)),IF(D101=AK101,((2*D100)+(2*E100)),0)))*C102</f>
        <v>0</v>
      </c>
      <c r="AM102" s="111">
        <f>(IF(D101=AM100,((2*B100)+(2*C100)),IF(D101=AM101,((2*B100)+(2*C100)),0)))*C102</f>
        <v>0</v>
      </c>
      <c r="AN102" s="260">
        <f>(IF(D101=AM100,((2*D100)+(2*E100)),IF(D101=AM101,((2*D100)+(2*E100)),0)))*C102</f>
        <v>0</v>
      </c>
      <c r="AO102" s="261">
        <f>(IF(B101=AO100,((2*B100)+(2*C100)),IF(B101=AO101,((2*B100)+(2*C100)),0)))*C102</f>
        <v>0</v>
      </c>
      <c r="AP102" s="260">
        <f>(IF(D101=AO100,((2*D100)+(2*E100)),IF(D101=AO101,((2*D100)+(2*E100)),0)))*C102</f>
        <v>0</v>
      </c>
      <c r="AQ102" s="111">
        <f>(IF(B101=AQ100,((2*B100)+(2*C100)),0))*C102</f>
        <v>0</v>
      </c>
      <c r="AR102" s="260">
        <f>(IF(D101=AQ100,((2*D100)+(2*E100)),0))*C102</f>
        <v>0</v>
      </c>
      <c r="AS102" s="72"/>
      <c r="AT102" s="268">
        <f>J100*C102</f>
        <v>0</v>
      </c>
      <c r="AV102" s="83" t="str">
        <f>'UC mounting materials '!$B$11</f>
        <v>Rail 41x41</v>
      </c>
      <c r="AW102" s="268">
        <f>IF(AA102&gt;999,(AA102+100),0)*C102</f>
        <v>0</v>
      </c>
      <c r="AY102" s="111" t="str">
        <f>IF(B101=informatieblad!$A$6,informatieblad!$B$6,IF(B101=informatieblad!$A$7,informatieblad!$B$7,IF(B101=informatieblad!$A$8,informatieblad!$B$8,IF(B101=informatieblad!$A$2,informatieblad!$B$2,IF(B101=informatieblad!$A$3,informatieblad!$B$3,IF(B101=informatieblad!$A$4,informatieblad!$B$4,IF(B101=informatieblad!$A$5,informatieblad!$B$5,"")))))))</f>
        <v/>
      </c>
      <c r="AZ102" s="275" t="str">
        <f>IF(D101=informatieblad!$A$6,informatieblad!$B$6,IF(D101=informatieblad!$A$7,informatieblad!$B$7,IF(D101=informatieblad!$A$8,informatieblad!$B$8,IF(D101=informatieblad!$A$2,informatieblad!$B$2,IF(D101=informatieblad!$A$3,informatieblad!$B$3,IF(D101=informatieblad!$A$4,informatieblad!$B$4,IF(D101=informatieblad!$A$5,informatieblad!$B$5,"")))))))</f>
        <v/>
      </c>
      <c r="BA102" s="276">
        <f>IF(AY102=BA100,(4*C102),0)</f>
        <v>0</v>
      </c>
      <c r="BB102" s="276">
        <f>IF(AZ102=BA100,(4*C102),0)</f>
        <v>0</v>
      </c>
      <c r="BC102" s="276">
        <f>IF(AY102=BC100,(4*C102),0)</f>
        <v>0</v>
      </c>
      <c r="BD102" s="274">
        <f>IF(AZ102=BC100,(4*C102),0)</f>
        <v>0</v>
      </c>
    </row>
    <row r="103" spans="1:56" ht="5.0999999999999996" customHeight="1" thickBot="1">
      <c r="A103" s="145"/>
      <c r="B103" s="122"/>
      <c r="C103" s="122"/>
      <c r="D103" s="122"/>
      <c r="E103" s="122"/>
      <c r="F103" s="122"/>
      <c r="G103" s="122"/>
      <c r="H103" s="122"/>
      <c r="I103" s="122"/>
      <c r="J103" s="146"/>
    </row>
    <row r="104" spans="1:56" ht="15.75" customHeight="1" thickBot="1">
      <c r="A104" s="445"/>
      <c r="B104" s="147"/>
      <c r="C104" s="147"/>
      <c r="D104" s="147"/>
      <c r="E104" s="147"/>
      <c r="F104" s="147">
        <f>(B104-D104)/2</f>
        <v>0</v>
      </c>
      <c r="G104" s="148">
        <f>(B104-D104)-F104</f>
        <v>0</v>
      </c>
      <c r="H104" s="149">
        <f>(C104-E104)/2</f>
        <v>0</v>
      </c>
      <c r="I104" s="150">
        <f>(C104-E104)-H104</f>
        <v>0</v>
      </c>
      <c r="J104" s="151"/>
      <c r="K104" s="345" t="s">
        <v>20</v>
      </c>
      <c r="L104" s="152"/>
      <c r="O104" s="97" t="s">
        <v>14</v>
      </c>
      <c r="P104" s="98" t="s">
        <v>27</v>
      </c>
      <c r="Q104" s="98" t="s">
        <v>28</v>
      </c>
      <c r="R104" s="98" t="s">
        <v>27</v>
      </c>
      <c r="S104" s="98" t="s">
        <v>28</v>
      </c>
      <c r="T104" s="98" t="s">
        <v>29</v>
      </c>
      <c r="U104" s="66" t="s">
        <v>30</v>
      </c>
      <c r="V104" s="153" t="s">
        <v>31</v>
      </c>
      <c r="W104" s="153"/>
      <c r="X104" s="153"/>
      <c r="Y104" s="154" t="s">
        <v>83</v>
      </c>
      <c r="Z104" s="100" t="s">
        <v>83</v>
      </c>
      <c r="AA104" s="100" t="s">
        <v>83</v>
      </c>
      <c r="AB104" s="98" t="s">
        <v>84</v>
      </c>
      <c r="AC104" s="98" t="s">
        <v>93</v>
      </c>
      <c r="AD104" s="100" t="s">
        <v>94</v>
      </c>
      <c r="AE104" s="100" t="s">
        <v>34</v>
      </c>
      <c r="AF104" s="98" t="s">
        <v>32</v>
      </c>
      <c r="AG104" s="98" t="s">
        <v>32</v>
      </c>
      <c r="AH104" s="98" t="s">
        <v>50</v>
      </c>
      <c r="AI104" s="101" t="s">
        <v>36</v>
      </c>
      <c r="AK104" s="97" t="str">
        <f>informatieblad!$A$6</f>
        <v>FL20</v>
      </c>
      <c r="AL104" s="99"/>
      <c r="AM104" s="97" t="str">
        <f>informatieblad!$A$7</f>
        <v>FL30</v>
      </c>
      <c r="AN104" s="66"/>
      <c r="AO104" s="99" t="str">
        <f>informatieblad!$A$8</f>
        <v>FL40</v>
      </c>
      <c r="AP104" s="66"/>
      <c r="AQ104" s="97" t="str">
        <f>informatieblad!$A$5</f>
        <v>none</v>
      </c>
      <c r="AR104" s="264"/>
      <c r="AT104" s="266" t="s">
        <v>17</v>
      </c>
      <c r="AW104" s="266" t="s">
        <v>37</v>
      </c>
      <c r="AY104" s="269" t="s">
        <v>38</v>
      </c>
      <c r="AZ104" s="272"/>
      <c r="BA104" s="272">
        <f>informatieblad!$B$3</f>
        <v>0</v>
      </c>
      <c r="BB104" s="272">
        <f>informatieblad!$B$3</f>
        <v>0</v>
      </c>
      <c r="BC104" s="272">
        <f>informatieblad!$B$4</f>
        <v>0</v>
      </c>
      <c r="BD104" s="264">
        <f>informatieblad!$B$4</f>
        <v>0</v>
      </c>
    </row>
    <row r="105" spans="1:56" ht="15.75" customHeight="1">
      <c r="A105" s="467"/>
      <c r="B105" s="471" t="str">
        <f>IF($C106&gt;0,IF(MAX(B104:C104)&lt;informatieblad!$Q$4,informatieblad!$P$3,IF(MAX(B104:C104)&gt;informatieblad!$R$4,informatieblad!$P$5,informatieblad!$P$4)),"")</f>
        <v/>
      </c>
      <c r="C105" s="472"/>
      <c r="D105" s="471" t="str">
        <f>IF($C106&gt;0,IF(MAX(D104:E104)&lt;informatieblad!$Q$4,informatieblad!$P$3,IF(MAX(D104:E104)&gt;informatieblad!$R$4,informatieblad!$P$5,informatieblad!$P$4)),"")</f>
        <v/>
      </c>
      <c r="E105" s="472"/>
      <c r="F105" s="134" t="str">
        <f>A104&amp;"-"&amp;informatieblad!$B$13&amp;"-"&amp;B104&amp;"-"&amp;C104&amp;"-"&amp;D104&amp;"-"&amp;E104&amp;"-"&amp;F104&amp;"-"&amp;G104&amp;"-"&amp;H104&amp;"-"&amp;I104&amp;"-"&amp;J104&amp;"-"&amp;B105&amp;"-"&amp;G106</f>
        <v>-RctR-----0-0-0-0---Options None</v>
      </c>
      <c r="G105" s="88"/>
      <c r="H105" s="469" t="s">
        <v>82</v>
      </c>
      <c r="I105" s="470"/>
      <c r="J105" s="135" t="str">
        <f>(IF($C106&gt;0,(IF(240&gt;(MAX(C104-E104,E104-C104,B104-D104,D104-B104))/2*1.732,240,(MAX(C104-E104,E104-C104,B104-D104,D104-B104))/2*1.732)+30+30),""))</f>
        <v/>
      </c>
      <c r="O105" s="103">
        <f>A104</f>
        <v>0</v>
      </c>
      <c r="P105" s="104" t="s">
        <v>39</v>
      </c>
      <c r="Q105" s="104" t="s">
        <v>39</v>
      </c>
      <c r="R105" s="104" t="s">
        <v>40</v>
      </c>
      <c r="S105" s="104" t="s">
        <v>40</v>
      </c>
      <c r="T105" s="104" t="s">
        <v>40</v>
      </c>
      <c r="U105" s="105"/>
      <c r="V105" s="155" t="s">
        <v>27</v>
      </c>
      <c r="W105" s="155" t="s">
        <v>40</v>
      </c>
      <c r="X105" s="155" t="s">
        <v>41</v>
      </c>
      <c r="Y105" s="156" t="s">
        <v>95</v>
      </c>
      <c r="Z105" s="104" t="s">
        <v>96</v>
      </c>
      <c r="AA105" s="104"/>
      <c r="AC105" s="136" t="s">
        <v>95</v>
      </c>
      <c r="AD105" s="136" t="s">
        <v>96</v>
      </c>
      <c r="AE105" s="107"/>
      <c r="AF105" s="104" t="s">
        <v>40</v>
      </c>
      <c r="AG105" s="104" t="s">
        <v>41</v>
      </c>
      <c r="AH105" s="108"/>
      <c r="AI105" s="109"/>
      <c r="AK105" s="262" t="str">
        <f>informatieblad!$A$2</f>
        <v>FL20 loose</v>
      </c>
      <c r="AL105" s="263"/>
      <c r="AM105" s="262" t="str">
        <f>informatieblad!$A$3</f>
        <v>FL30 loose</v>
      </c>
      <c r="AN105" s="105"/>
      <c r="AO105" s="263" t="str">
        <f>informatieblad!$A$4</f>
        <v>FL40 loose</v>
      </c>
      <c r="AP105" s="105"/>
      <c r="AQ105" s="265"/>
      <c r="AR105" s="105"/>
      <c r="AT105" s="267"/>
      <c r="AV105" s="83" t="str">
        <f>'UC mounting materials '!$B$10</f>
        <v>Rail 30x15</v>
      </c>
      <c r="AW105" s="327">
        <f>IF(AA106&lt;1000,(AA106+100),0)*C106</f>
        <v>0</v>
      </c>
      <c r="AY105" s="265" t="s">
        <v>47</v>
      </c>
      <c r="AZ105" s="106" t="s">
        <v>48</v>
      </c>
      <c r="BA105" s="83" t="s">
        <v>23</v>
      </c>
      <c r="BB105" s="83" t="s">
        <v>23</v>
      </c>
      <c r="BC105" s="83" t="s">
        <v>23</v>
      </c>
      <c r="BD105" s="273" t="s">
        <v>23</v>
      </c>
    </row>
    <row r="106" spans="1:56" ht="15.75" customHeight="1" thickBot="1">
      <c r="A106" s="468"/>
      <c r="B106" s="137" t="s">
        <v>23</v>
      </c>
      <c r="C106" s="157"/>
      <c r="D106" s="139"/>
      <c r="E106" s="140">
        <f>C106*Q106</f>
        <v>0</v>
      </c>
      <c r="F106" s="141" t="s">
        <v>24</v>
      </c>
      <c r="G106" s="461" t="s">
        <v>25</v>
      </c>
      <c r="H106" s="473"/>
      <c r="I106" s="473"/>
      <c r="J106" s="474"/>
      <c r="O106" s="111"/>
      <c r="P106" s="112">
        <f>(((2*(Y106+Z106))*(J104))/1000000)</f>
        <v>0</v>
      </c>
      <c r="Q106" s="112">
        <f>((IF(P106&lt;=informatieblad!$I$13,informatieblad!$I$13,IF(P106&gt;=informatieblad!$I$13,P106))))</f>
        <v>0.5</v>
      </c>
      <c r="R106" s="158">
        <f>ROUND((((2*(Y106+Z106))*AB106)/1000000),2)</f>
        <v>0</v>
      </c>
      <c r="S106" s="112">
        <f>((IF(R106&lt;=informatieblad!$H$13,informatieblad!$H$13,IF(R106&gt;=informatieblad!$H$13,R106))))</f>
        <v>0</v>
      </c>
      <c r="T106" s="113">
        <f>((S106*AF106)+(S106*W106))*C106</f>
        <v>0</v>
      </c>
      <c r="U106" s="114">
        <f>((Q106*AG106)+(Q106*X106))*C106</f>
        <v>0</v>
      </c>
      <c r="V106" s="115" t="str">
        <f>G106</f>
        <v>Options None</v>
      </c>
      <c r="W106" s="115">
        <f>VLOOKUP(G106,informatieblad!$A$37:$D$41,2,FALSE)</f>
        <v>0</v>
      </c>
      <c r="X106" s="115">
        <f>VLOOKUP(G106,informatieblad!$A$37:$D$41,4,FALSE)</f>
        <v>0</v>
      </c>
      <c r="Y106" s="159">
        <f>(MAX(B104,D104))</f>
        <v>0</v>
      </c>
      <c r="Z106" s="160">
        <f>(MAX(C104,E104))</f>
        <v>0</v>
      </c>
      <c r="AA106" s="160">
        <f>(MAX(B104:E104))</f>
        <v>0</v>
      </c>
      <c r="AB106" s="161">
        <f>(MAX(AD106,AC106))</f>
        <v>0</v>
      </c>
      <c r="AC106" s="162">
        <f>ROUND((SQRT((((MAX(F104,G104))^2)+(J104^2)))),0)</f>
        <v>0</v>
      </c>
      <c r="AD106" s="163">
        <f>ROUND((SQRT((((MAX(H104,I104))^2)+(J104^2)))),0)</f>
        <v>0</v>
      </c>
      <c r="AE106" s="119">
        <f>LOOKUP(AA106,informatieblad!$C$27:$C$32,informatieblad!$A$27:$A$32)</f>
        <v>0.5</v>
      </c>
      <c r="AF106" s="118">
        <f>VLOOKUP(AE106,informatieblad!$A$27:$M$32,6,FALSE)</f>
        <v>0</v>
      </c>
      <c r="AG106" s="118">
        <f>VLOOKUP(AE106,informatieblad!$A$27:$M$32,8,FALSE)</f>
        <v>45.1248</v>
      </c>
      <c r="AH106" s="120">
        <f>VLOOKUP(AE106,informatieblad!$A$27:$M$32,13,FALSE)</f>
        <v>4</v>
      </c>
      <c r="AI106" s="121">
        <f>ROUND((AH106*S106),1)</f>
        <v>0</v>
      </c>
      <c r="AK106" s="111">
        <f>(IF(B105=AK104,((2*B104)+(2*C104)),IF(B105=AK105,((2*B104)+(2*C104)),0)))*C106</f>
        <v>0</v>
      </c>
      <c r="AL106" s="261">
        <f>(IF(D105=AK104,((2*D104)+(2*E104)),IF(D105=AK105,((2*D104)+(2*E104)),0)))*C106</f>
        <v>0</v>
      </c>
      <c r="AM106" s="111">
        <f>(IF(D105=AM104,((2*B104)+(2*C104)),IF(D105=AM105,((2*B104)+(2*C104)),0)))*C106</f>
        <v>0</v>
      </c>
      <c r="AN106" s="260">
        <f>(IF(D105=AM104,((2*D104)+(2*E104)),IF(D105=AM105,((2*D104)+(2*E104)),0)))*C106</f>
        <v>0</v>
      </c>
      <c r="AO106" s="261">
        <f>(IF(B105=AO104,((2*B104)+(2*C104)),IF(B105=AO105,((2*B104)+(2*C104)),0)))*C106</f>
        <v>0</v>
      </c>
      <c r="AP106" s="260">
        <f>(IF(D105=AO104,((2*D104)+(2*E104)),IF(D105=AO105,((2*D104)+(2*E104)),0)))*C106</f>
        <v>0</v>
      </c>
      <c r="AQ106" s="111">
        <f>(IF(B105=AQ104,((2*B104)+(2*C104)),0))*C106</f>
        <v>0</v>
      </c>
      <c r="AR106" s="260">
        <f>(IF(D105=AQ104,((2*D104)+(2*E104)),0))*C106</f>
        <v>0</v>
      </c>
      <c r="AT106" s="268">
        <f>J104*C106</f>
        <v>0</v>
      </c>
      <c r="AV106" s="83" t="str">
        <f>'UC mounting materials '!$B$11</f>
        <v>Rail 41x41</v>
      </c>
      <c r="AW106" s="268">
        <f>IF(AA106&gt;999,(AA106+100),0)*C106</f>
        <v>0</v>
      </c>
      <c r="AY106" s="111" t="str">
        <f>IF(B105=informatieblad!$A$6,informatieblad!$B$6,IF(B105=informatieblad!$A$7,informatieblad!$B$7,IF(B105=informatieblad!$A$8,informatieblad!$B$8,IF(B105=informatieblad!$A$2,informatieblad!$B$2,IF(B105=informatieblad!$A$3,informatieblad!$B$3,IF(B105=informatieblad!$A$4,informatieblad!$B$4,IF(B105=informatieblad!$A$5,informatieblad!$B$5,"")))))))</f>
        <v/>
      </c>
      <c r="AZ106" s="275" t="str">
        <f>IF(D105=informatieblad!$A$6,informatieblad!$B$6,IF(D105=informatieblad!$A$7,informatieblad!$B$7,IF(D105=informatieblad!$A$8,informatieblad!$B$8,IF(D105=informatieblad!$A$2,informatieblad!$B$2,IF(D105=informatieblad!$A$3,informatieblad!$B$3,IF(D105=informatieblad!$A$4,informatieblad!$B$4,IF(D105=informatieblad!$A$5,informatieblad!$B$5,"")))))))</f>
        <v/>
      </c>
      <c r="BA106" s="276">
        <f>IF(AY106=BA104,(4*C106),0)</f>
        <v>0</v>
      </c>
      <c r="BB106" s="276">
        <f>IF(AZ106=BA104,(4*C106),0)</f>
        <v>0</v>
      </c>
      <c r="BC106" s="276">
        <f>IF(AY106=BC104,(4*C106),0)</f>
        <v>0</v>
      </c>
      <c r="BD106" s="274">
        <f>IF(AZ106=BC104,(4*C106),0)</f>
        <v>0</v>
      </c>
    </row>
    <row r="107" spans="1:56" ht="5.0999999999999996" customHeight="1" thickBot="1">
      <c r="A107" s="145"/>
      <c r="B107" s="122"/>
      <c r="C107" s="122"/>
      <c r="D107" s="122"/>
      <c r="E107" s="122"/>
      <c r="F107" s="122"/>
      <c r="G107" s="122"/>
      <c r="H107" s="122"/>
      <c r="I107" s="122"/>
      <c r="J107" s="146"/>
    </row>
    <row r="108" spans="1:56" ht="15.75" customHeight="1" thickBot="1">
      <c r="A108" s="445"/>
      <c r="B108" s="147"/>
      <c r="C108" s="147"/>
      <c r="D108" s="147"/>
      <c r="E108" s="147"/>
      <c r="F108" s="147">
        <f>(B108-D108)/2</f>
        <v>0</v>
      </c>
      <c r="G108" s="148">
        <f>(B108-D108)-F108</f>
        <v>0</v>
      </c>
      <c r="H108" s="149">
        <f>(C108-E108)/2</f>
        <v>0</v>
      </c>
      <c r="I108" s="150">
        <f>(C108-E108)-H108</f>
        <v>0</v>
      </c>
      <c r="J108" s="151"/>
      <c r="K108" s="345" t="s">
        <v>20</v>
      </c>
      <c r="O108" s="97" t="s">
        <v>14</v>
      </c>
      <c r="P108" s="98" t="s">
        <v>27</v>
      </c>
      <c r="Q108" s="98" t="s">
        <v>28</v>
      </c>
      <c r="R108" s="98" t="s">
        <v>27</v>
      </c>
      <c r="S108" s="98" t="s">
        <v>28</v>
      </c>
      <c r="T108" s="98" t="s">
        <v>29</v>
      </c>
      <c r="U108" s="66" t="s">
        <v>30</v>
      </c>
      <c r="V108" s="153" t="s">
        <v>31</v>
      </c>
      <c r="W108" s="153"/>
      <c r="X108" s="153"/>
      <c r="Y108" s="154" t="s">
        <v>83</v>
      </c>
      <c r="Z108" s="100" t="s">
        <v>83</v>
      </c>
      <c r="AA108" s="100" t="s">
        <v>83</v>
      </c>
      <c r="AB108" s="98" t="s">
        <v>84</v>
      </c>
      <c r="AC108" s="98" t="s">
        <v>93</v>
      </c>
      <c r="AD108" s="100" t="s">
        <v>94</v>
      </c>
      <c r="AE108" s="100" t="s">
        <v>34</v>
      </c>
      <c r="AF108" s="98" t="s">
        <v>32</v>
      </c>
      <c r="AG108" s="98" t="s">
        <v>32</v>
      </c>
      <c r="AH108" s="98" t="s">
        <v>50</v>
      </c>
      <c r="AI108" s="101" t="s">
        <v>36</v>
      </c>
      <c r="AK108" s="97" t="str">
        <f>informatieblad!$A$6</f>
        <v>FL20</v>
      </c>
      <c r="AL108" s="99"/>
      <c r="AM108" s="97" t="str">
        <f>informatieblad!$A$7</f>
        <v>FL30</v>
      </c>
      <c r="AN108" s="66"/>
      <c r="AO108" s="99" t="str">
        <f>informatieblad!$A$8</f>
        <v>FL40</v>
      </c>
      <c r="AP108" s="66"/>
      <c r="AQ108" s="97" t="str">
        <f>informatieblad!$A$5</f>
        <v>none</v>
      </c>
      <c r="AR108" s="264"/>
      <c r="AT108" s="266" t="s">
        <v>17</v>
      </c>
      <c r="AW108" s="266" t="s">
        <v>37</v>
      </c>
      <c r="AY108" s="269" t="s">
        <v>38</v>
      </c>
      <c r="AZ108" s="272"/>
      <c r="BA108" s="272">
        <f>informatieblad!$B$3</f>
        <v>0</v>
      </c>
      <c r="BB108" s="272">
        <f>informatieblad!$B$3</f>
        <v>0</v>
      </c>
      <c r="BC108" s="272">
        <f>informatieblad!$B$4</f>
        <v>0</v>
      </c>
      <c r="BD108" s="264">
        <f>informatieblad!$B$4</f>
        <v>0</v>
      </c>
    </row>
    <row r="109" spans="1:56" ht="15.75" customHeight="1">
      <c r="A109" s="475"/>
      <c r="B109" s="471" t="str">
        <f>IF($C110&gt;0,IF(MAX(B108:C108)&lt;informatieblad!$Q$4,informatieblad!$P$3,IF(MAX(B108:C108)&gt;informatieblad!$R$4,informatieblad!$P$5,informatieblad!$P$4)),"")</f>
        <v/>
      </c>
      <c r="C109" s="472"/>
      <c r="D109" s="471" t="str">
        <f>IF($C110&gt;0,IF(MAX(D108:E108)&lt;informatieblad!$Q$4,informatieblad!$P$3,IF(MAX(D108:E108)&gt;informatieblad!$R$4,informatieblad!$P$5,informatieblad!$P$4)),"")</f>
        <v/>
      </c>
      <c r="E109" s="472"/>
      <c r="F109" s="134" t="str">
        <f>A108&amp;"-"&amp;informatieblad!$B$13&amp;"-"&amp;B108&amp;"-"&amp;C108&amp;"-"&amp;D108&amp;"-"&amp;E108&amp;"-"&amp;F108&amp;"-"&amp;G108&amp;"-"&amp;H108&amp;"-"&amp;I108&amp;"-"&amp;J108&amp;"-"&amp;B109&amp;"-"&amp;G110</f>
        <v>-RctR-----0-0-0-0---Options None</v>
      </c>
      <c r="G109" s="88"/>
      <c r="H109" s="469" t="s">
        <v>82</v>
      </c>
      <c r="I109" s="470"/>
      <c r="J109" s="135" t="str">
        <f>(IF($C110&gt;0,(IF(240&gt;(MAX(C108-E108,E108-C108,B108-D108,D108-B108))/2*1.732,240,(MAX(C108-E108,E108-C108,B108-D108,D108-B108))/2*1.732)+30+30),""))</f>
        <v/>
      </c>
      <c r="O109" s="103">
        <f>A108</f>
        <v>0</v>
      </c>
      <c r="P109" s="104" t="s">
        <v>39</v>
      </c>
      <c r="Q109" s="104" t="s">
        <v>39</v>
      </c>
      <c r="R109" s="104" t="s">
        <v>40</v>
      </c>
      <c r="S109" s="104" t="s">
        <v>40</v>
      </c>
      <c r="T109" s="104" t="s">
        <v>40</v>
      </c>
      <c r="U109" s="105"/>
      <c r="V109" s="155" t="s">
        <v>27</v>
      </c>
      <c r="W109" s="155" t="s">
        <v>40</v>
      </c>
      <c r="X109" s="155" t="s">
        <v>41</v>
      </c>
      <c r="Y109" s="156" t="s">
        <v>95</v>
      </c>
      <c r="Z109" s="104" t="s">
        <v>96</v>
      </c>
      <c r="AA109" s="104"/>
      <c r="AC109" s="136" t="s">
        <v>95</v>
      </c>
      <c r="AD109" s="136" t="s">
        <v>96</v>
      </c>
      <c r="AE109" s="107"/>
      <c r="AF109" s="104" t="s">
        <v>40</v>
      </c>
      <c r="AG109" s="104" t="s">
        <v>41</v>
      </c>
      <c r="AH109" s="108"/>
      <c r="AI109" s="109"/>
      <c r="AK109" s="262" t="str">
        <f>informatieblad!$A$2</f>
        <v>FL20 loose</v>
      </c>
      <c r="AL109" s="263"/>
      <c r="AM109" s="262" t="str">
        <f>informatieblad!$A$3</f>
        <v>FL30 loose</v>
      </c>
      <c r="AN109" s="105"/>
      <c r="AO109" s="263" t="str">
        <f>informatieblad!$A$4</f>
        <v>FL40 loose</v>
      </c>
      <c r="AP109" s="105"/>
      <c r="AQ109" s="265"/>
      <c r="AR109" s="105"/>
      <c r="AT109" s="267"/>
      <c r="AV109" s="83" t="str">
        <f>'UC mounting materials '!$B$10</f>
        <v>Rail 30x15</v>
      </c>
      <c r="AW109" s="327">
        <f>IF(AA110&lt;1000,(AA110+100),0)*C110</f>
        <v>0</v>
      </c>
      <c r="AY109" s="265" t="s">
        <v>47</v>
      </c>
      <c r="AZ109" s="106" t="s">
        <v>48</v>
      </c>
      <c r="BA109" s="83" t="s">
        <v>23</v>
      </c>
      <c r="BB109" s="83" t="s">
        <v>23</v>
      </c>
      <c r="BC109" s="83" t="s">
        <v>23</v>
      </c>
      <c r="BD109" s="273" t="s">
        <v>23</v>
      </c>
    </row>
    <row r="110" spans="1:56" ht="15.75" customHeight="1" thickBot="1">
      <c r="A110" s="476"/>
      <c r="B110" s="137" t="s">
        <v>23</v>
      </c>
      <c r="C110" s="157"/>
      <c r="D110" s="139"/>
      <c r="E110" s="140">
        <f>C110*Q110</f>
        <v>0</v>
      </c>
      <c r="F110" s="141" t="s">
        <v>24</v>
      </c>
      <c r="G110" s="461" t="s">
        <v>25</v>
      </c>
      <c r="H110" s="473"/>
      <c r="I110" s="473"/>
      <c r="J110" s="474"/>
      <c r="O110" s="111"/>
      <c r="P110" s="112">
        <f>(((2*(Y110+Z110))*(J108))/1000000)</f>
        <v>0</v>
      </c>
      <c r="Q110" s="112">
        <f>((IF(P110&lt;=informatieblad!$I$13,informatieblad!$I$13,IF(P110&gt;=informatieblad!$I$13,P110))))</f>
        <v>0.5</v>
      </c>
      <c r="R110" s="158">
        <f>ROUND((((2*(Y110+Z110))*AB110)/1000000),2)</f>
        <v>0</v>
      </c>
      <c r="S110" s="112">
        <f>((IF(R110&lt;=informatieblad!$H$13,informatieblad!$H$13,IF(R110&gt;=informatieblad!$H$13,R110))))</f>
        <v>0</v>
      </c>
      <c r="T110" s="113">
        <f>((S110*AF110)+(S110*W110))*C110</f>
        <v>0</v>
      </c>
      <c r="U110" s="114">
        <f>((Q110*AG110)+(Q110*X110))*C110</f>
        <v>0</v>
      </c>
      <c r="V110" s="115" t="str">
        <f>G110</f>
        <v>Options None</v>
      </c>
      <c r="W110" s="115">
        <f>VLOOKUP(G110,informatieblad!$A$37:$D$41,2,FALSE)</f>
        <v>0</v>
      </c>
      <c r="X110" s="115">
        <f>VLOOKUP(G110,informatieblad!$A$37:$D$41,4,FALSE)</f>
        <v>0</v>
      </c>
      <c r="Y110" s="159">
        <f>(MAX(B108,D108))</f>
        <v>0</v>
      </c>
      <c r="Z110" s="160">
        <f>(MAX(C108,E108))</f>
        <v>0</v>
      </c>
      <c r="AA110" s="160">
        <f>(MAX(B108:E108))</f>
        <v>0</v>
      </c>
      <c r="AB110" s="161">
        <f>(MAX(AD110,AC110))</f>
        <v>0</v>
      </c>
      <c r="AC110" s="162">
        <f>ROUND((SQRT((((MAX(F108,G108))^2)+(J108^2)))),0)</f>
        <v>0</v>
      </c>
      <c r="AD110" s="163">
        <f>ROUND((SQRT((((MAX(H108,I108))^2)+(J108^2)))),0)</f>
        <v>0</v>
      </c>
      <c r="AE110" s="119">
        <f>LOOKUP(AA110,informatieblad!$C$27:$C$32,informatieblad!$A$27:$A$32)</f>
        <v>0.5</v>
      </c>
      <c r="AF110" s="118">
        <f>VLOOKUP(AE110,informatieblad!$A$27:$M$32,6,FALSE)</f>
        <v>0</v>
      </c>
      <c r="AG110" s="118">
        <f>VLOOKUP(AE110,informatieblad!$A$27:$M$32,8,FALSE)</f>
        <v>45.1248</v>
      </c>
      <c r="AH110" s="120">
        <f>VLOOKUP(AE110,informatieblad!$A$27:$M$32,13,FALSE)</f>
        <v>4</v>
      </c>
      <c r="AI110" s="121">
        <f>ROUND((AH110*S110),1)</f>
        <v>0</v>
      </c>
      <c r="AK110" s="111">
        <f>(IF(B109=AK108,((2*B108)+(2*C108)),IF(B109=AK109,((2*B108)+(2*C108)),0)))*C110</f>
        <v>0</v>
      </c>
      <c r="AL110" s="261">
        <f>(IF(D109=AK108,((2*D108)+(2*E108)),IF(D109=AK109,((2*D108)+(2*E108)),0)))*C110</f>
        <v>0</v>
      </c>
      <c r="AM110" s="111">
        <f>(IF(D109=AM108,((2*B108)+(2*C108)),IF(D109=AM109,((2*B108)+(2*C108)),0)))*C110</f>
        <v>0</v>
      </c>
      <c r="AN110" s="260">
        <f>(IF(D109=AM108,((2*D108)+(2*E108)),IF(D109=AM109,((2*D108)+(2*E108)),0)))*C110</f>
        <v>0</v>
      </c>
      <c r="AO110" s="261">
        <f>(IF(B109=AO108,((2*B108)+(2*C108)),IF(B109=AO109,((2*B108)+(2*C108)),0)))*C110</f>
        <v>0</v>
      </c>
      <c r="AP110" s="260">
        <f>(IF(D109=AO108,((2*D108)+(2*E108)),IF(D109=AO109,((2*D108)+(2*E108)),0)))*C110</f>
        <v>0</v>
      </c>
      <c r="AQ110" s="111">
        <f>(IF(B109=AQ108,((2*B108)+(2*C108)),0))*C110</f>
        <v>0</v>
      </c>
      <c r="AR110" s="260">
        <f>(IF(D109=AQ108,((2*D108)+(2*E108)),0))*C110</f>
        <v>0</v>
      </c>
      <c r="AT110" s="268">
        <f>J108*C110</f>
        <v>0</v>
      </c>
      <c r="AV110" s="83" t="str">
        <f>'UC mounting materials '!$B$11</f>
        <v>Rail 41x41</v>
      </c>
      <c r="AW110" s="268">
        <f>IF(AA110&gt;999,(AA110+100),0)*C110</f>
        <v>0</v>
      </c>
      <c r="AY110" s="111" t="str">
        <f>IF(B109=informatieblad!$A$6,informatieblad!$B$6,IF(B109=informatieblad!$A$7,informatieblad!$B$7,IF(B109=informatieblad!$A$8,informatieblad!$B$8,IF(B109=informatieblad!$A$2,informatieblad!$B$2,IF(B109=informatieblad!$A$3,informatieblad!$B$3,IF(B109=informatieblad!$A$4,informatieblad!$B$4,IF(B109=informatieblad!$A$5,informatieblad!$B$5,"")))))))</f>
        <v/>
      </c>
      <c r="AZ110" s="275" t="str">
        <f>IF(D109=informatieblad!$A$6,informatieblad!$B$6,IF(D109=informatieblad!$A$7,informatieblad!$B$7,IF(D109=informatieblad!$A$8,informatieblad!$B$8,IF(D109=informatieblad!$A$2,informatieblad!$B$2,IF(D109=informatieblad!$A$3,informatieblad!$B$3,IF(D109=informatieblad!$A$4,informatieblad!$B$4,IF(D109=informatieblad!$A$5,informatieblad!$B$5,"")))))))</f>
        <v/>
      </c>
      <c r="BA110" s="276">
        <f>IF(AY110=BA108,(4*C110),0)</f>
        <v>0</v>
      </c>
      <c r="BB110" s="276">
        <f>IF(AZ110=BA108,(4*C110),0)</f>
        <v>0</v>
      </c>
      <c r="BC110" s="276">
        <f>IF(AY110=BC108,(4*C110),0)</f>
        <v>0</v>
      </c>
      <c r="BD110" s="274">
        <f>IF(AZ110=BC108,(4*C110),0)</f>
        <v>0</v>
      </c>
    </row>
    <row r="111" spans="1:56" ht="5.0999999999999996" customHeight="1" thickBot="1">
      <c r="A111" s="145"/>
      <c r="B111" s="122"/>
      <c r="C111" s="122"/>
      <c r="D111" s="122"/>
      <c r="E111" s="122"/>
      <c r="F111" s="122"/>
      <c r="G111" s="122"/>
      <c r="H111" s="122"/>
      <c r="I111" s="122"/>
      <c r="J111" s="146"/>
    </row>
    <row r="112" spans="1:56" ht="15.75" customHeight="1" thickBot="1">
      <c r="A112" s="445"/>
      <c r="B112" s="147"/>
      <c r="C112" s="147"/>
      <c r="D112" s="147"/>
      <c r="E112" s="147"/>
      <c r="F112" s="147">
        <f>(B112-D112)/2</f>
        <v>0</v>
      </c>
      <c r="G112" s="148">
        <f>(B112-D112)-F112</f>
        <v>0</v>
      </c>
      <c r="H112" s="149">
        <f>(C112-E112)/2</f>
        <v>0</v>
      </c>
      <c r="I112" s="150">
        <f>(C112-E112)-H112</f>
        <v>0</v>
      </c>
      <c r="J112" s="151"/>
      <c r="K112" s="345" t="s">
        <v>20</v>
      </c>
      <c r="O112" s="97" t="s">
        <v>14</v>
      </c>
      <c r="P112" s="98" t="s">
        <v>27</v>
      </c>
      <c r="Q112" s="98" t="s">
        <v>28</v>
      </c>
      <c r="R112" s="98" t="s">
        <v>27</v>
      </c>
      <c r="S112" s="98" t="s">
        <v>28</v>
      </c>
      <c r="T112" s="98" t="s">
        <v>29</v>
      </c>
      <c r="U112" s="66" t="s">
        <v>30</v>
      </c>
      <c r="V112" s="153" t="s">
        <v>31</v>
      </c>
      <c r="W112" s="153"/>
      <c r="X112" s="153"/>
      <c r="Y112" s="154" t="s">
        <v>83</v>
      </c>
      <c r="Z112" s="100" t="s">
        <v>83</v>
      </c>
      <c r="AA112" s="100" t="s">
        <v>83</v>
      </c>
      <c r="AB112" s="98" t="s">
        <v>84</v>
      </c>
      <c r="AC112" s="98" t="s">
        <v>93</v>
      </c>
      <c r="AD112" s="100" t="s">
        <v>94</v>
      </c>
      <c r="AE112" s="100" t="s">
        <v>34</v>
      </c>
      <c r="AF112" s="98" t="s">
        <v>32</v>
      </c>
      <c r="AG112" s="98" t="s">
        <v>32</v>
      </c>
      <c r="AH112" s="98" t="s">
        <v>50</v>
      </c>
      <c r="AI112" s="101" t="s">
        <v>36</v>
      </c>
      <c r="AK112" s="97" t="str">
        <f>informatieblad!$A$6</f>
        <v>FL20</v>
      </c>
      <c r="AL112" s="99"/>
      <c r="AM112" s="97" t="str">
        <f>informatieblad!$A$7</f>
        <v>FL30</v>
      </c>
      <c r="AN112" s="66"/>
      <c r="AO112" s="99" t="str">
        <f>informatieblad!$A$8</f>
        <v>FL40</v>
      </c>
      <c r="AP112" s="66"/>
      <c r="AQ112" s="97" t="str">
        <f>informatieblad!$A$5</f>
        <v>none</v>
      </c>
      <c r="AR112" s="264"/>
      <c r="AT112" s="266" t="s">
        <v>17</v>
      </c>
      <c r="AW112" s="266" t="s">
        <v>37</v>
      </c>
      <c r="AY112" s="269" t="s">
        <v>38</v>
      </c>
      <c r="AZ112" s="272"/>
      <c r="BA112" s="272">
        <f>informatieblad!$B$3</f>
        <v>0</v>
      </c>
      <c r="BB112" s="272">
        <f>informatieblad!$B$3</f>
        <v>0</v>
      </c>
      <c r="BC112" s="272">
        <f>informatieblad!$B$4</f>
        <v>0</v>
      </c>
      <c r="BD112" s="264">
        <f>informatieblad!$B$4</f>
        <v>0</v>
      </c>
    </row>
    <row r="113" spans="1:56" ht="15.75" customHeight="1">
      <c r="A113" s="446"/>
      <c r="B113" s="471" t="str">
        <f>IF($C114&gt;0,IF(MAX(B112:C112)&lt;informatieblad!$Q$4,informatieblad!$P$3,IF(MAX(B112:C112)&gt;informatieblad!$R$4,informatieblad!$P$5,informatieblad!$P$4)),"")</f>
        <v/>
      </c>
      <c r="C113" s="472"/>
      <c r="D113" s="471" t="str">
        <f>IF($C114&gt;0,IF(MAX(D112:E112)&lt;informatieblad!$Q$4,informatieblad!$P$3,IF(MAX(D112:E112)&gt;informatieblad!$R$4,informatieblad!$P$5,informatieblad!$P$4)),"")</f>
        <v/>
      </c>
      <c r="E113" s="472"/>
      <c r="F113" s="134" t="str">
        <f>A112&amp;"-"&amp;informatieblad!$B$13&amp;"-"&amp;B112&amp;"-"&amp;C112&amp;"-"&amp;D112&amp;"-"&amp;E112&amp;"-"&amp;F112&amp;"-"&amp;G112&amp;"-"&amp;H112&amp;"-"&amp;I112&amp;"-"&amp;J112&amp;"-"&amp;B113&amp;"-"&amp;G114</f>
        <v>-RctR-----0-0-0-0---Options None</v>
      </c>
      <c r="G113" s="88"/>
      <c r="H113" s="469" t="s">
        <v>82</v>
      </c>
      <c r="I113" s="470"/>
      <c r="J113" s="135" t="str">
        <f>(IF($C114&gt;0,(IF(240&gt;(MAX(C112-E112,E112-C112,B112-D112,D112-B112))/2*1.732,240,(MAX(C112-E112,E112-C112,B112-D112,D112-B112))/2*1.732)+30+30),""))</f>
        <v/>
      </c>
      <c r="O113" s="103">
        <f>A112</f>
        <v>0</v>
      </c>
      <c r="P113" s="104" t="s">
        <v>39</v>
      </c>
      <c r="Q113" s="104" t="s">
        <v>39</v>
      </c>
      <c r="R113" s="104" t="s">
        <v>40</v>
      </c>
      <c r="S113" s="104" t="s">
        <v>40</v>
      </c>
      <c r="T113" s="104" t="s">
        <v>40</v>
      </c>
      <c r="U113" s="105"/>
      <c r="V113" s="155" t="s">
        <v>27</v>
      </c>
      <c r="W113" s="155" t="s">
        <v>40</v>
      </c>
      <c r="X113" s="155" t="s">
        <v>41</v>
      </c>
      <c r="Y113" s="156" t="s">
        <v>95</v>
      </c>
      <c r="Z113" s="104" t="s">
        <v>96</v>
      </c>
      <c r="AA113" s="104"/>
      <c r="AC113" s="136" t="s">
        <v>95</v>
      </c>
      <c r="AD113" s="136" t="s">
        <v>96</v>
      </c>
      <c r="AE113" s="107"/>
      <c r="AF113" s="104" t="s">
        <v>40</v>
      </c>
      <c r="AG113" s="104" t="s">
        <v>41</v>
      </c>
      <c r="AH113" s="108"/>
      <c r="AI113" s="109"/>
      <c r="AK113" s="262" t="str">
        <f>informatieblad!$A$2</f>
        <v>FL20 loose</v>
      </c>
      <c r="AL113" s="263"/>
      <c r="AM113" s="262" t="str">
        <f>informatieblad!$A$3</f>
        <v>FL30 loose</v>
      </c>
      <c r="AN113" s="105"/>
      <c r="AO113" s="263" t="str">
        <f>informatieblad!$A$4</f>
        <v>FL40 loose</v>
      </c>
      <c r="AP113" s="105"/>
      <c r="AQ113" s="265"/>
      <c r="AR113" s="105"/>
      <c r="AT113" s="267"/>
      <c r="AV113" s="83" t="str">
        <f>'UC mounting materials '!$B$10</f>
        <v>Rail 30x15</v>
      </c>
      <c r="AW113" s="327">
        <f>IF(AA114&lt;1000,(AA114+100),0)*C114</f>
        <v>0</v>
      </c>
      <c r="AY113" s="265" t="s">
        <v>47</v>
      </c>
      <c r="AZ113" s="106" t="s">
        <v>48</v>
      </c>
      <c r="BA113" s="83" t="s">
        <v>23</v>
      </c>
      <c r="BB113" s="83" t="s">
        <v>23</v>
      </c>
      <c r="BC113" s="83" t="s">
        <v>23</v>
      </c>
      <c r="BD113" s="273" t="s">
        <v>23</v>
      </c>
    </row>
    <row r="114" spans="1:56" ht="15.75" customHeight="1" thickBot="1">
      <c r="A114" s="476"/>
      <c r="B114" s="137" t="s">
        <v>23</v>
      </c>
      <c r="C114" s="157"/>
      <c r="D114" s="139"/>
      <c r="E114" s="140">
        <f>C114*Q114</f>
        <v>0</v>
      </c>
      <c r="F114" s="141" t="s">
        <v>24</v>
      </c>
      <c r="G114" s="461" t="s">
        <v>25</v>
      </c>
      <c r="H114" s="473"/>
      <c r="I114" s="473"/>
      <c r="J114" s="474"/>
      <c r="O114" s="111"/>
      <c r="P114" s="112">
        <f>(((2*(Y114+Z114))*(J112))/1000000)</f>
        <v>0</v>
      </c>
      <c r="Q114" s="112">
        <f>((IF(P114&lt;=informatieblad!$I$13,informatieblad!$I$13,IF(P114&gt;=informatieblad!$I$13,P114))))</f>
        <v>0.5</v>
      </c>
      <c r="R114" s="158">
        <f>ROUND((((2*(Y114+Z114))*AB114)/1000000),2)</f>
        <v>0</v>
      </c>
      <c r="S114" s="112">
        <f>((IF(R114&lt;=informatieblad!$H$13,informatieblad!$H$13,IF(R114&gt;=informatieblad!$H$13,R114))))</f>
        <v>0</v>
      </c>
      <c r="T114" s="113">
        <f>((S114*AF114)+(S114*W114))*C114</f>
        <v>0</v>
      </c>
      <c r="U114" s="114">
        <f>((Q114*AG114)+(Q114*X114))*C114</f>
        <v>0</v>
      </c>
      <c r="V114" s="115" t="str">
        <f>G114</f>
        <v>Options None</v>
      </c>
      <c r="W114" s="115">
        <f>VLOOKUP(G114,informatieblad!$A$37:$D$41,2,FALSE)</f>
        <v>0</v>
      </c>
      <c r="X114" s="115">
        <f>VLOOKUP(G114,informatieblad!$A$37:$D$41,4,FALSE)</f>
        <v>0</v>
      </c>
      <c r="Y114" s="159">
        <f>(MAX(B112,D112))</f>
        <v>0</v>
      </c>
      <c r="Z114" s="160">
        <f>(MAX(C112,E112))</f>
        <v>0</v>
      </c>
      <c r="AA114" s="160">
        <f>(MAX(B112:E112))</f>
        <v>0</v>
      </c>
      <c r="AB114" s="161">
        <f>(MAX(AD114,AC114))</f>
        <v>0</v>
      </c>
      <c r="AC114" s="162">
        <f>ROUND((SQRT((((MAX(F112,G112))^2)+(J112^2)))),0)</f>
        <v>0</v>
      </c>
      <c r="AD114" s="163">
        <f>ROUND((SQRT((((MAX(H112,I112))^2)+(J112^2)))),0)</f>
        <v>0</v>
      </c>
      <c r="AE114" s="119">
        <f>LOOKUP(AA114,informatieblad!$C$27:$C$32,informatieblad!$A$27:$A$32)</f>
        <v>0.5</v>
      </c>
      <c r="AF114" s="118">
        <f>VLOOKUP(AE114,informatieblad!$A$27:$M$32,6,FALSE)</f>
        <v>0</v>
      </c>
      <c r="AG114" s="118">
        <f>VLOOKUP(AE114,informatieblad!$A$27:$M$32,8,FALSE)</f>
        <v>45.1248</v>
      </c>
      <c r="AH114" s="120">
        <f>VLOOKUP(AE114,informatieblad!$A$27:$M$32,13,FALSE)</f>
        <v>4</v>
      </c>
      <c r="AI114" s="121">
        <f>ROUND((AH114*S114),1)</f>
        <v>0</v>
      </c>
      <c r="AK114" s="111">
        <f>(IF(B113=AK112,((2*B112)+(2*C112)),IF(B113=AK113,((2*B112)+(2*C112)),0)))*C114</f>
        <v>0</v>
      </c>
      <c r="AL114" s="261">
        <f>(IF(D113=AK112,((2*D112)+(2*E112)),IF(D113=AK113,((2*D112)+(2*E112)),0)))*C114</f>
        <v>0</v>
      </c>
      <c r="AM114" s="111">
        <f>(IF(D113=AM112,((2*B112)+(2*C112)),IF(D113=AM113,((2*B112)+(2*C112)),0)))*C114</f>
        <v>0</v>
      </c>
      <c r="AN114" s="260">
        <f>(IF(D113=AM112,((2*D112)+(2*E112)),IF(D113=AM113,((2*D112)+(2*E112)),0)))*C114</f>
        <v>0</v>
      </c>
      <c r="AO114" s="261">
        <f>(IF(B113=AO112,((2*B112)+(2*C112)),IF(B113=AO113,((2*B112)+(2*C112)),0)))*C114</f>
        <v>0</v>
      </c>
      <c r="AP114" s="260">
        <f>(IF(D113=AO112,((2*D112)+(2*E112)),IF(D113=AO113,((2*D112)+(2*E112)),0)))*C114</f>
        <v>0</v>
      </c>
      <c r="AQ114" s="111">
        <f>(IF(B113=AQ112,((2*B112)+(2*C112)),0))*C114</f>
        <v>0</v>
      </c>
      <c r="AR114" s="260">
        <f>(IF(D113=AQ112,((2*D112)+(2*E112)),0))*C114</f>
        <v>0</v>
      </c>
      <c r="AT114" s="268">
        <f>J112*C114</f>
        <v>0</v>
      </c>
      <c r="AV114" s="83" t="str">
        <f>'UC mounting materials '!$B$11</f>
        <v>Rail 41x41</v>
      </c>
      <c r="AW114" s="268">
        <f>IF(AA114&gt;999,(AA114+100),0)*C114</f>
        <v>0</v>
      </c>
      <c r="AY114" s="111" t="str">
        <f>IF(B113=informatieblad!$A$6,informatieblad!$B$6,IF(B113=informatieblad!$A$7,informatieblad!$B$7,IF(B113=informatieblad!$A$8,informatieblad!$B$8,IF(B113=informatieblad!$A$2,informatieblad!$B$2,IF(B113=informatieblad!$A$3,informatieblad!$B$3,IF(B113=informatieblad!$A$4,informatieblad!$B$4,IF(B113=informatieblad!$A$5,informatieblad!$B$5,"")))))))</f>
        <v/>
      </c>
      <c r="AZ114" s="275" t="str">
        <f>IF(D113=informatieblad!$A$6,informatieblad!$B$6,IF(D113=informatieblad!$A$7,informatieblad!$B$7,IF(D113=informatieblad!$A$8,informatieblad!$B$8,IF(D113=informatieblad!$A$2,informatieblad!$B$2,IF(D113=informatieblad!$A$3,informatieblad!$B$3,IF(D113=informatieblad!$A$4,informatieblad!$B$4,IF(D113=informatieblad!$A$5,informatieblad!$B$5,"")))))))</f>
        <v/>
      </c>
      <c r="BA114" s="276">
        <f>IF(AY114=BA112,(4*C114),0)</f>
        <v>0</v>
      </c>
      <c r="BB114" s="276">
        <f>IF(AZ114=BA112,(4*C114),0)</f>
        <v>0</v>
      </c>
      <c r="BC114" s="276">
        <f>IF(AY114=BC112,(4*C114),0)</f>
        <v>0</v>
      </c>
      <c r="BD114" s="274">
        <f>IF(AZ114=BC112,(4*C114),0)</f>
        <v>0</v>
      </c>
    </row>
    <row r="115" spans="1:56" ht="5.0999999999999996" customHeight="1" thickBot="1">
      <c r="A115" s="145"/>
      <c r="B115" s="122"/>
      <c r="C115" s="122"/>
      <c r="D115" s="122"/>
      <c r="E115" s="122"/>
      <c r="F115" s="122"/>
      <c r="G115" s="122"/>
      <c r="H115" s="122"/>
      <c r="I115" s="122"/>
      <c r="J115" s="146"/>
    </row>
    <row r="116" spans="1:56" ht="15.75" customHeight="1" thickBot="1">
      <c r="A116" s="445"/>
      <c r="B116" s="147"/>
      <c r="C116" s="147"/>
      <c r="D116" s="147"/>
      <c r="E116" s="147"/>
      <c r="F116" s="147">
        <f>(B116-D116)/2</f>
        <v>0</v>
      </c>
      <c r="G116" s="148">
        <f>(B116-D116)-F116</f>
        <v>0</v>
      </c>
      <c r="H116" s="149">
        <f>(C116-E116)/2</f>
        <v>0</v>
      </c>
      <c r="I116" s="150">
        <f>(C116-E116)-H116</f>
        <v>0</v>
      </c>
      <c r="J116" s="151"/>
      <c r="K116" s="345" t="s">
        <v>20</v>
      </c>
      <c r="O116" s="97" t="s">
        <v>14</v>
      </c>
      <c r="P116" s="98" t="s">
        <v>27</v>
      </c>
      <c r="Q116" s="98" t="s">
        <v>28</v>
      </c>
      <c r="R116" s="98" t="s">
        <v>27</v>
      </c>
      <c r="S116" s="98" t="s">
        <v>28</v>
      </c>
      <c r="T116" s="98" t="s">
        <v>29</v>
      </c>
      <c r="U116" s="66" t="s">
        <v>30</v>
      </c>
      <c r="V116" s="153" t="s">
        <v>31</v>
      </c>
      <c r="W116" s="153"/>
      <c r="X116" s="153"/>
      <c r="Y116" s="154" t="s">
        <v>83</v>
      </c>
      <c r="Z116" s="100" t="s">
        <v>83</v>
      </c>
      <c r="AA116" s="100" t="s">
        <v>83</v>
      </c>
      <c r="AB116" s="98" t="s">
        <v>84</v>
      </c>
      <c r="AC116" s="98" t="s">
        <v>93</v>
      </c>
      <c r="AD116" s="100" t="s">
        <v>94</v>
      </c>
      <c r="AE116" s="100" t="s">
        <v>34</v>
      </c>
      <c r="AF116" s="98" t="s">
        <v>32</v>
      </c>
      <c r="AG116" s="98" t="s">
        <v>32</v>
      </c>
      <c r="AH116" s="98" t="s">
        <v>50</v>
      </c>
      <c r="AI116" s="101" t="s">
        <v>36</v>
      </c>
      <c r="AK116" s="97" t="str">
        <f>informatieblad!$A$6</f>
        <v>FL20</v>
      </c>
      <c r="AL116" s="99"/>
      <c r="AM116" s="97" t="str">
        <f>informatieblad!$A$7</f>
        <v>FL30</v>
      </c>
      <c r="AN116" s="66"/>
      <c r="AO116" s="99" t="str">
        <f>informatieblad!$A$8</f>
        <v>FL40</v>
      </c>
      <c r="AP116" s="66"/>
      <c r="AQ116" s="97" t="str">
        <f>informatieblad!$A$5</f>
        <v>none</v>
      </c>
      <c r="AR116" s="264"/>
      <c r="AT116" s="266" t="s">
        <v>17</v>
      </c>
      <c r="AW116" s="266" t="s">
        <v>37</v>
      </c>
      <c r="AY116" s="269" t="s">
        <v>38</v>
      </c>
      <c r="AZ116" s="272"/>
      <c r="BA116" s="272">
        <f>informatieblad!$B$3</f>
        <v>0</v>
      </c>
      <c r="BB116" s="272">
        <f>informatieblad!$B$3</f>
        <v>0</v>
      </c>
      <c r="BC116" s="272">
        <f>informatieblad!$B$4</f>
        <v>0</v>
      </c>
      <c r="BD116" s="264">
        <f>informatieblad!$B$4</f>
        <v>0</v>
      </c>
    </row>
    <row r="117" spans="1:56" ht="15.75" customHeight="1">
      <c r="A117" s="446"/>
      <c r="B117" s="471" t="str">
        <f>IF($C118&gt;0,IF(MAX(B116:C116)&lt;informatieblad!$Q$4,informatieblad!$P$3,IF(MAX(B116:C116)&gt;informatieblad!$R$4,informatieblad!$P$5,informatieblad!$P$4)),"")</f>
        <v/>
      </c>
      <c r="C117" s="472"/>
      <c r="D117" s="471" t="str">
        <f>IF($C118&gt;0,IF(MAX(D116:E116)&lt;informatieblad!$Q$4,informatieblad!$P$3,IF(MAX(D116:E116)&gt;informatieblad!$R$4,informatieblad!$P$5,informatieblad!$P$4)),"")</f>
        <v/>
      </c>
      <c r="E117" s="472"/>
      <c r="F117" s="134" t="str">
        <f>A116&amp;"-"&amp;informatieblad!$B$13&amp;"-"&amp;B116&amp;"-"&amp;C116&amp;"-"&amp;D116&amp;"-"&amp;E116&amp;"-"&amp;F116&amp;"-"&amp;G116&amp;"-"&amp;H116&amp;"-"&amp;I116&amp;"-"&amp;J116&amp;"-"&amp;B117&amp;"-"&amp;G118</f>
        <v>-RctR-----0-0-0-0---Options None</v>
      </c>
      <c r="G117" s="88"/>
      <c r="H117" s="469" t="s">
        <v>82</v>
      </c>
      <c r="I117" s="470"/>
      <c r="J117" s="135" t="str">
        <f>(IF($C118&gt;0,(IF(240&gt;(MAX(C116-E116,E116-C116,B116-D116,D116-B116))/2*1.732,240,(MAX(C116-E116,E116-C116,B116-D116,D116-B116))/2*1.732)+30+30),""))</f>
        <v/>
      </c>
      <c r="O117" s="103">
        <f>A116</f>
        <v>0</v>
      </c>
      <c r="P117" s="104" t="s">
        <v>39</v>
      </c>
      <c r="Q117" s="104" t="s">
        <v>39</v>
      </c>
      <c r="R117" s="104" t="s">
        <v>40</v>
      </c>
      <c r="S117" s="104" t="s">
        <v>40</v>
      </c>
      <c r="T117" s="104" t="s">
        <v>40</v>
      </c>
      <c r="U117" s="105"/>
      <c r="V117" s="155" t="s">
        <v>27</v>
      </c>
      <c r="W117" s="155" t="s">
        <v>40</v>
      </c>
      <c r="X117" s="155" t="s">
        <v>41</v>
      </c>
      <c r="Y117" s="156" t="s">
        <v>95</v>
      </c>
      <c r="Z117" s="104" t="s">
        <v>96</v>
      </c>
      <c r="AA117" s="104"/>
      <c r="AC117" s="136" t="s">
        <v>95</v>
      </c>
      <c r="AD117" s="136" t="s">
        <v>96</v>
      </c>
      <c r="AE117" s="107"/>
      <c r="AF117" s="104" t="s">
        <v>40</v>
      </c>
      <c r="AG117" s="104" t="s">
        <v>41</v>
      </c>
      <c r="AH117" s="108"/>
      <c r="AI117" s="109"/>
      <c r="AK117" s="262" t="str">
        <f>informatieblad!$A$2</f>
        <v>FL20 loose</v>
      </c>
      <c r="AL117" s="263"/>
      <c r="AM117" s="262" t="str">
        <f>informatieblad!$A$3</f>
        <v>FL30 loose</v>
      </c>
      <c r="AN117" s="105"/>
      <c r="AO117" s="263" t="str">
        <f>informatieblad!$A$4</f>
        <v>FL40 loose</v>
      </c>
      <c r="AP117" s="105"/>
      <c r="AQ117" s="265"/>
      <c r="AR117" s="105"/>
      <c r="AT117" s="267"/>
      <c r="AV117" s="83" t="str">
        <f>'UC mounting materials '!$B$10</f>
        <v>Rail 30x15</v>
      </c>
      <c r="AW117" s="327">
        <f>IF(AA118&lt;1000,(AA118+100),0)*C118</f>
        <v>0</v>
      </c>
      <c r="AY117" s="265" t="s">
        <v>47</v>
      </c>
      <c r="AZ117" s="106" t="s">
        <v>48</v>
      </c>
      <c r="BA117" s="83" t="s">
        <v>23</v>
      </c>
      <c r="BB117" s="83" t="s">
        <v>23</v>
      </c>
      <c r="BC117" s="83" t="s">
        <v>23</v>
      </c>
      <c r="BD117" s="273" t="s">
        <v>23</v>
      </c>
    </row>
    <row r="118" spans="1:56" ht="15.75" customHeight="1" thickBot="1">
      <c r="A118" s="476"/>
      <c r="B118" s="137" t="s">
        <v>23</v>
      </c>
      <c r="C118" s="157"/>
      <c r="D118" s="139"/>
      <c r="E118" s="140">
        <f>C118*Q118</f>
        <v>0</v>
      </c>
      <c r="F118" s="141" t="s">
        <v>24</v>
      </c>
      <c r="G118" s="461" t="s">
        <v>25</v>
      </c>
      <c r="H118" s="473"/>
      <c r="I118" s="473"/>
      <c r="J118" s="474"/>
      <c r="O118" s="111"/>
      <c r="P118" s="112">
        <f>(((2*(Y118+Z118))*(J116))/1000000)</f>
        <v>0</v>
      </c>
      <c r="Q118" s="112">
        <f>((IF(P118&lt;=informatieblad!$I$13,informatieblad!$I$13,IF(P118&gt;=informatieblad!$I$13,P118))))</f>
        <v>0.5</v>
      </c>
      <c r="R118" s="158">
        <f>ROUND((((2*(Y118+Z118))*AB118)/1000000),2)</f>
        <v>0</v>
      </c>
      <c r="S118" s="112">
        <f>((IF(R118&lt;=informatieblad!$H$13,informatieblad!$H$13,IF(R118&gt;=informatieblad!$H$13,R118))))</f>
        <v>0</v>
      </c>
      <c r="T118" s="113">
        <f>((S118*AF118)+(S118*W118))*C118</f>
        <v>0</v>
      </c>
      <c r="U118" s="114">
        <f>((Q118*AG118)+(Q118*X118))*C118</f>
        <v>0</v>
      </c>
      <c r="V118" s="115" t="str">
        <f>G118</f>
        <v>Options None</v>
      </c>
      <c r="W118" s="115">
        <f>VLOOKUP(G118,informatieblad!$A$37:$D$41,2,FALSE)</f>
        <v>0</v>
      </c>
      <c r="X118" s="115">
        <f>VLOOKUP(G118,informatieblad!$A$37:$D$41,4,FALSE)</f>
        <v>0</v>
      </c>
      <c r="Y118" s="159">
        <f>(MAX(B116,D116))</f>
        <v>0</v>
      </c>
      <c r="Z118" s="160">
        <f>(MAX(C116,E116))</f>
        <v>0</v>
      </c>
      <c r="AA118" s="160">
        <f>(MAX(B116:E116))</f>
        <v>0</v>
      </c>
      <c r="AB118" s="161">
        <f>(MAX(AD118,AC118))</f>
        <v>0</v>
      </c>
      <c r="AC118" s="162">
        <f>ROUND((SQRT((((MAX(F116,G116))^2)+(J116^2)))),0)</f>
        <v>0</v>
      </c>
      <c r="AD118" s="163">
        <f>ROUND((SQRT((((MAX(H116,I116))^2)+(J116^2)))),0)</f>
        <v>0</v>
      </c>
      <c r="AE118" s="119">
        <f>LOOKUP(AA118,informatieblad!$C$27:$C$32,informatieblad!$A$27:$A$32)</f>
        <v>0.5</v>
      </c>
      <c r="AF118" s="118">
        <f>VLOOKUP(AE118,informatieblad!$A$27:$M$32,6,FALSE)</f>
        <v>0</v>
      </c>
      <c r="AG118" s="118">
        <f>VLOOKUP(AE118,informatieblad!$A$27:$M$32,8,FALSE)</f>
        <v>45.1248</v>
      </c>
      <c r="AH118" s="120">
        <f>VLOOKUP(AE118,informatieblad!$A$27:$M$32,13,FALSE)</f>
        <v>4</v>
      </c>
      <c r="AI118" s="121">
        <f>ROUND((AH118*S118),1)</f>
        <v>0</v>
      </c>
      <c r="AK118" s="111">
        <f>(IF(B117=AK116,((2*B116)+(2*C116)),IF(B117=AK117,((2*B116)+(2*C116)),0)))*C118</f>
        <v>0</v>
      </c>
      <c r="AL118" s="261">
        <f>(IF(D117=AK116,((2*D116)+(2*E116)),IF(D117=AK117,((2*D116)+(2*E116)),0)))*C118</f>
        <v>0</v>
      </c>
      <c r="AM118" s="111">
        <f>(IF(D117=AM116,((2*B116)+(2*C116)),IF(D117=AM117,((2*B116)+(2*C116)),0)))*C118</f>
        <v>0</v>
      </c>
      <c r="AN118" s="260">
        <f>(IF(D117=AM116,((2*D116)+(2*E116)),IF(D117=AM117,((2*D116)+(2*E116)),0)))*C118</f>
        <v>0</v>
      </c>
      <c r="AO118" s="261">
        <f>(IF(B117=AO116,((2*B116)+(2*C116)),IF(B117=AO117,((2*B116)+(2*C116)),0)))*C118</f>
        <v>0</v>
      </c>
      <c r="AP118" s="260">
        <f>(IF(D117=AO116,((2*D116)+(2*E116)),IF(D117=AO117,((2*D116)+(2*E116)),0)))*C118</f>
        <v>0</v>
      </c>
      <c r="AQ118" s="111">
        <f>(IF(B117=AQ116,((2*B116)+(2*C116)),0))*C118</f>
        <v>0</v>
      </c>
      <c r="AR118" s="260">
        <f>(IF(D117=AQ116,((2*D116)+(2*E116)),0))*C118</f>
        <v>0</v>
      </c>
      <c r="AT118" s="268">
        <f>J116*C118</f>
        <v>0</v>
      </c>
      <c r="AV118" s="83" t="str">
        <f>'UC mounting materials '!$B$11</f>
        <v>Rail 41x41</v>
      </c>
      <c r="AW118" s="268">
        <f>IF(AA118&gt;999,(AA118+100),0)*C118</f>
        <v>0</v>
      </c>
      <c r="AY118" s="111" t="str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/>
      </c>
      <c r="AZ118" s="275" t="str">
        <f>IF(D117=informatieblad!$A$6,informatieblad!$B$6,IF(D117=informatieblad!$A$7,informatieblad!$B$7,IF(D117=informatieblad!$A$8,informatieblad!$B$8,IF(D117=informatieblad!$A$2,informatieblad!$B$2,IF(D117=informatieblad!$A$3,informatieblad!$B$3,IF(D117=informatieblad!$A$4,informatieblad!$B$4,IF(D117=informatieblad!$A$5,informatieblad!$B$5,"")))))))</f>
        <v/>
      </c>
      <c r="BA118" s="276">
        <f>IF(AY118=BA116,(4*C118),0)</f>
        <v>0</v>
      </c>
      <c r="BB118" s="276">
        <f>IF(AZ118=BA116,(4*C118),0)</f>
        <v>0</v>
      </c>
      <c r="BC118" s="276">
        <f>IF(AY118=BC116,(4*C118),0)</f>
        <v>0</v>
      </c>
      <c r="BD118" s="274">
        <f>IF(AZ118=BC116,(4*C118),0)</f>
        <v>0</v>
      </c>
    </row>
    <row r="119" spans="1:56" ht="5.0999999999999996" customHeight="1" thickBot="1">
      <c r="A119" s="145"/>
      <c r="B119" s="122"/>
      <c r="C119" s="122"/>
      <c r="D119" s="122"/>
      <c r="E119" s="122"/>
      <c r="F119" s="122"/>
      <c r="G119" s="122"/>
      <c r="H119" s="122"/>
      <c r="I119" s="122"/>
      <c r="J119" s="146"/>
    </row>
    <row r="120" spans="1:56" ht="15.75" customHeight="1" thickBot="1">
      <c r="A120" s="445"/>
      <c r="B120" s="147"/>
      <c r="C120" s="147"/>
      <c r="D120" s="147"/>
      <c r="E120" s="147"/>
      <c r="F120" s="147">
        <f>(B120-D120)/2</f>
        <v>0</v>
      </c>
      <c r="G120" s="148">
        <f>(B120-D120)-F120</f>
        <v>0</v>
      </c>
      <c r="H120" s="149">
        <f>(C120-E120)/2</f>
        <v>0</v>
      </c>
      <c r="I120" s="150">
        <f>(C120-E120)-H120</f>
        <v>0</v>
      </c>
      <c r="J120" s="151"/>
      <c r="K120" s="345" t="s">
        <v>20</v>
      </c>
      <c r="O120" s="97" t="s">
        <v>14</v>
      </c>
      <c r="P120" s="98" t="s">
        <v>27</v>
      </c>
      <c r="Q120" s="98" t="s">
        <v>28</v>
      </c>
      <c r="R120" s="98" t="s">
        <v>27</v>
      </c>
      <c r="S120" s="98" t="s">
        <v>28</v>
      </c>
      <c r="T120" s="98" t="s">
        <v>29</v>
      </c>
      <c r="U120" s="66" t="s">
        <v>30</v>
      </c>
      <c r="V120" s="153" t="s">
        <v>31</v>
      </c>
      <c r="W120" s="153"/>
      <c r="X120" s="153"/>
      <c r="Y120" s="154" t="s">
        <v>83</v>
      </c>
      <c r="Z120" s="100" t="s">
        <v>83</v>
      </c>
      <c r="AA120" s="100" t="s">
        <v>83</v>
      </c>
      <c r="AB120" s="98" t="s">
        <v>84</v>
      </c>
      <c r="AC120" s="98" t="s">
        <v>93</v>
      </c>
      <c r="AD120" s="100" t="s">
        <v>94</v>
      </c>
      <c r="AE120" s="100" t="s">
        <v>34</v>
      </c>
      <c r="AF120" s="98" t="s">
        <v>32</v>
      </c>
      <c r="AG120" s="98" t="s">
        <v>32</v>
      </c>
      <c r="AH120" s="98" t="s">
        <v>50</v>
      </c>
      <c r="AI120" s="101" t="s">
        <v>36</v>
      </c>
      <c r="AK120" s="97" t="str">
        <f>informatieblad!$A$6</f>
        <v>FL20</v>
      </c>
      <c r="AL120" s="99"/>
      <c r="AM120" s="97" t="str">
        <f>informatieblad!$A$7</f>
        <v>FL30</v>
      </c>
      <c r="AN120" s="66"/>
      <c r="AO120" s="99" t="str">
        <f>informatieblad!$A$8</f>
        <v>FL40</v>
      </c>
      <c r="AP120" s="66"/>
      <c r="AQ120" s="97" t="str">
        <f>informatieblad!$A$5</f>
        <v>none</v>
      </c>
      <c r="AR120" s="264"/>
      <c r="AT120" s="266" t="s">
        <v>17</v>
      </c>
      <c r="AW120" s="266" t="s">
        <v>37</v>
      </c>
      <c r="AY120" s="269" t="s">
        <v>38</v>
      </c>
      <c r="AZ120" s="272"/>
      <c r="BA120" s="272">
        <f>informatieblad!$B$3</f>
        <v>0</v>
      </c>
      <c r="BB120" s="272">
        <f>informatieblad!$B$3</f>
        <v>0</v>
      </c>
      <c r="BC120" s="272">
        <f>informatieblad!$B$4</f>
        <v>0</v>
      </c>
      <c r="BD120" s="264">
        <f>informatieblad!$B$4</f>
        <v>0</v>
      </c>
    </row>
    <row r="121" spans="1:56" ht="15.75" customHeight="1">
      <c r="A121" s="467"/>
      <c r="B121" s="471" t="str">
        <f>IF($C122&gt;0,IF(MAX(B120:C120)&lt;informatieblad!$Q$4,informatieblad!$P$3,IF(MAX(B120:C120)&gt;informatieblad!$R$4,informatieblad!$P$5,informatieblad!$P$4)),"")</f>
        <v/>
      </c>
      <c r="C121" s="472"/>
      <c r="D121" s="471" t="str">
        <f>IF($C122&gt;0,IF(MAX(D120:E120)&lt;informatieblad!$Q$4,informatieblad!$P$3,IF(MAX(D120:E120)&gt;informatieblad!$R$4,informatieblad!$P$5,informatieblad!$P$4)),"")</f>
        <v/>
      </c>
      <c r="E121" s="472"/>
      <c r="F121" s="134" t="str">
        <f>A120&amp;"-"&amp;informatieblad!$B$13&amp;"-"&amp;B120&amp;"-"&amp;C120&amp;"-"&amp;D120&amp;"-"&amp;E120&amp;"-"&amp;F120&amp;"-"&amp;G120&amp;"-"&amp;H120&amp;"-"&amp;I120&amp;"-"&amp;J120&amp;"-"&amp;B121&amp;"-"&amp;G122</f>
        <v>-RctR-----0-0-0-0---Options None</v>
      </c>
      <c r="G121" s="88"/>
      <c r="H121" s="469" t="s">
        <v>82</v>
      </c>
      <c r="I121" s="470"/>
      <c r="J121" s="135" t="str">
        <f>(IF($C122&gt;0,(IF(240&gt;(MAX(C120-E120,E120-C120,B120-D120,D120-B120))/2*1.732,240,(MAX(C120-E120,E120-C120,B120-D120,D120-B120))/2*1.732)+30+30),""))</f>
        <v/>
      </c>
      <c r="O121" s="103">
        <f>A120</f>
        <v>0</v>
      </c>
      <c r="P121" s="104" t="s">
        <v>39</v>
      </c>
      <c r="Q121" s="104" t="s">
        <v>39</v>
      </c>
      <c r="R121" s="104" t="s">
        <v>40</v>
      </c>
      <c r="S121" s="104" t="s">
        <v>40</v>
      </c>
      <c r="T121" s="104" t="s">
        <v>40</v>
      </c>
      <c r="U121" s="105"/>
      <c r="V121" s="155" t="s">
        <v>27</v>
      </c>
      <c r="W121" s="155" t="s">
        <v>40</v>
      </c>
      <c r="X121" s="155" t="s">
        <v>41</v>
      </c>
      <c r="Y121" s="156" t="s">
        <v>95</v>
      </c>
      <c r="Z121" s="104" t="s">
        <v>96</v>
      </c>
      <c r="AA121" s="104"/>
      <c r="AC121" s="136" t="s">
        <v>95</v>
      </c>
      <c r="AD121" s="136" t="s">
        <v>96</v>
      </c>
      <c r="AE121" s="107"/>
      <c r="AF121" s="104" t="s">
        <v>40</v>
      </c>
      <c r="AG121" s="104" t="s">
        <v>41</v>
      </c>
      <c r="AH121" s="108"/>
      <c r="AI121" s="109"/>
      <c r="AK121" s="262" t="str">
        <f>informatieblad!$A$2</f>
        <v>FL20 loose</v>
      </c>
      <c r="AL121" s="263"/>
      <c r="AM121" s="262" t="str">
        <f>informatieblad!$A$3</f>
        <v>FL30 loose</v>
      </c>
      <c r="AN121" s="105"/>
      <c r="AO121" s="263" t="str">
        <f>informatieblad!$A$4</f>
        <v>FL40 loose</v>
      </c>
      <c r="AP121" s="105"/>
      <c r="AQ121" s="265"/>
      <c r="AR121" s="105"/>
      <c r="AT121" s="267"/>
      <c r="AV121" s="83" t="str">
        <f>'UC mounting materials '!$B$10</f>
        <v>Rail 30x15</v>
      </c>
      <c r="AW121" s="327">
        <f>IF(AA122&lt;1000,(AA122+100),0)*C122</f>
        <v>0</v>
      </c>
      <c r="AY121" s="265" t="s">
        <v>47</v>
      </c>
      <c r="AZ121" s="106" t="s">
        <v>48</v>
      </c>
      <c r="BA121" s="83" t="s">
        <v>23</v>
      </c>
      <c r="BB121" s="83" t="s">
        <v>23</v>
      </c>
      <c r="BC121" s="83" t="s">
        <v>23</v>
      </c>
      <c r="BD121" s="273" t="s">
        <v>23</v>
      </c>
    </row>
    <row r="122" spans="1:56" ht="15.75" customHeight="1" thickBot="1">
      <c r="A122" s="468"/>
      <c r="B122" s="137" t="s">
        <v>23</v>
      </c>
      <c r="C122" s="157"/>
      <c r="D122" s="139"/>
      <c r="E122" s="140">
        <f>C122*Q122</f>
        <v>0</v>
      </c>
      <c r="F122" s="141" t="s">
        <v>24</v>
      </c>
      <c r="G122" s="461" t="s">
        <v>25</v>
      </c>
      <c r="H122" s="473"/>
      <c r="I122" s="473"/>
      <c r="J122" s="474"/>
      <c r="O122" s="111"/>
      <c r="P122" s="112">
        <f>(((2*(Y122+Z122))*(J120))/1000000)</f>
        <v>0</v>
      </c>
      <c r="Q122" s="112">
        <f>((IF(P122&lt;=informatieblad!$I$13,informatieblad!$I$13,IF(P122&gt;=informatieblad!$I$13,P122))))</f>
        <v>0.5</v>
      </c>
      <c r="R122" s="158">
        <f>ROUND((((2*(Y122+Z122))*AB122)/1000000),2)</f>
        <v>0</v>
      </c>
      <c r="S122" s="112">
        <f>((IF(R122&lt;=informatieblad!$H$13,informatieblad!$H$13,IF(R122&gt;=informatieblad!$H$13,R122))))</f>
        <v>0</v>
      </c>
      <c r="T122" s="113">
        <f>((S122*AF122)+(S122*W122))*C122</f>
        <v>0</v>
      </c>
      <c r="U122" s="114">
        <f>((Q122*AG122)+(Q122*X122))*C122</f>
        <v>0</v>
      </c>
      <c r="V122" s="115" t="str">
        <f>G122</f>
        <v>Options None</v>
      </c>
      <c r="W122" s="115">
        <f>VLOOKUP(G122,informatieblad!$A$37:$D$41,2,FALSE)</f>
        <v>0</v>
      </c>
      <c r="X122" s="115">
        <f>VLOOKUP(G122,informatieblad!$A$37:$D$41,4,FALSE)</f>
        <v>0</v>
      </c>
      <c r="Y122" s="159">
        <f>(MAX(B120,D120))</f>
        <v>0</v>
      </c>
      <c r="Z122" s="160">
        <f>(MAX(C120,E120))</f>
        <v>0</v>
      </c>
      <c r="AA122" s="160">
        <f>(MAX(B120:E120))</f>
        <v>0</v>
      </c>
      <c r="AB122" s="161">
        <f>(MAX(AD122,AC122))</f>
        <v>0</v>
      </c>
      <c r="AC122" s="162">
        <f>ROUND((SQRT((((MAX(F120,G120))^2)+(J120^2)))),0)</f>
        <v>0</v>
      </c>
      <c r="AD122" s="163">
        <f>ROUND((SQRT((((MAX(H120,I120))^2)+(J120^2)))),0)</f>
        <v>0</v>
      </c>
      <c r="AE122" s="119">
        <f>LOOKUP(AA122,informatieblad!$C$27:$C$32,informatieblad!$A$27:$A$32)</f>
        <v>0.5</v>
      </c>
      <c r="AF122" s="118">
        <f>VLOOKUP(AE122,informatieblad!$A$27:$M$32,6,FALSE)</f>
        <v>0</v>
      </c>
      <c r="AG122" s="118">
        <f>VLOOKUP(AE122,informatieblad!$A$27:$M$32,8,FALSE)</f>
        <v>45.1248</v>
      </c>
      <c r="AH122" s="120">
        <f>VLOOKUP(AE122,informatieblad!$A$27:$M$32,13,FALSE)</f>
        <v>4</v>
      </c>
      <c r="AI122" s="121">
        <f>ROUND((AH122*S122),1)</f>
        <v>0</v>
      </c>
      <c r="AK122" s="111">
        <f>(IF(B121=AK120,((2*B120)+(2*C120)),IF(B121=AK121,((2*B120)+(2*C120)),0)))*C122</f>
        <v>0</v>
      </c>
      <c r="AL122" s="261">
        <f>(IF(D121=AK120,((2*D120)+(2*E120)),IF(D121=AK121,((2*D120)+(2*E120)),0)))*C122</f>
        <v>0</v>
      </c>
      <c r="AM122" s="111">
        <f>(IF(D121=AM120,((2*B120)+(2*C120)),IF(D121=AM121,((2*B120)+(2*C120)),0)))*C122</f>
        <v>0</v>
      </c>
      <c r="AN122" s="260">
        <f>(IF(D121=AM120,((2*D120)+(2*E120)),IF(D121=AM121,((2*D120)+(2*E120)),0)))*C122</f>
        <v>0</v>
      </c>
      <c r="AO122" s="261">
        <f>(IF(B121=AO120,((2*B120)+(2*C120)),IF(B121=AO121,((2*B120)+(2*C120)),0)))*C122</f>
        <v>0</v>
      </c>
      <c r="AP122" s="260">
        <f>(IF(D121=AO120,((2*D120)+(2*E120)),IF(D121=AO121,((2*D120)+(2*E120)),0)))*C122</f>
        <v>0</v>
      </c>
      <c r="AQ122" s="111">
        <f>(IF(B121=AQ120,((2*B120)+(2*C120)),0))*C122</f>
        <v>0</v>
      </c>
      <c r="AR122" s="260">
        <f>(IF(D121=AQ120,((2*D120)+(2*E120)),0))*C122</f>
        <v>0</v>
      </c>
      <c r="AT122" s="268">
        <f>J120*C122</f>
        <v>0</v>
      </c>
      <c r="AV122" s="83" t="str">
        <f>'UC mounting materials '!$B$11</f>
        <v>Rail 41x41</v>
      </c>
      <c r="AW122" s="268">
        <f>IF(AA122&gt;999,(AA122+100),0)*C122</f>
        <v>0</v>
      </c>
      <c r="AY122" s="111" t="str">
        <f>IF(B121=informatieblad!$A$6,informatieblad!$B$6,IF(B121=informatieblad!$A$7,informatieblad!$B$7,IF(B121=informatieblad!$A$8,informatieblad!$B$8,IF(B121=informatieblad!$A$2,informatieblad!$B$2,IF(B121=informatieblad!$A$3,informatieblad!$B$3,IF(B121=informatieblad!$A$4,informatieblad!$B$4,IF(B121=informatieblad!$A$5,informatieblad!$B$5,"")))))))</f>
        <v/>
      </c>
      <c r="AZ122" s="275" t="str">
        <f>IF(D121=informatieblad!$A$6,informatieblad!$B$6,IF(D121=informatieblad!$A$7,informatieblad!$B$7,IF(D121=informatieblad!$A$8,informatieblad!$B$8,IF(D121=informatieblad!$A$2,informatieblad!$B$2,IF(D121=informatieblad!$A$3,informatieblad!$B$3,IF(D121=informatieblad!$A$4,informatieblad!$B$4,IF(D121=informatieblad!$A$5,informatieblad!$B$5,"")))))))</f>
        <v/>
      </c>
      <c r="BA122" s="276">
        <f>IF(AY122=BA120,(4*C122),0)</f>
        <v>0</v>
      </c>
      <c r="BB122" s="276">
        <f>IF(AZ122=BA120,(4*C122),0)</f>
        <v>0</v>
      </c>
      <c r="BC122" s="276">
        <f>IF(AY122=BC120,(4*C122),0)</f>
        <v>0</v>
      </c>
      <c r="BD122" s="274">
        <f>IF(AZ122=BC120,(4*C122),0)</f>
        <v>0</v>
      </c>
    </row>
    <row r="123" spans="1:56" ht="5.0999999999999996" customHeight="1" thickBot="1">
      <c r="A123" s="145"/>
      <c r="B123" s="122"/>
      <c r="C123" s="122"/>
      <c r="D123" s="122"/>
      <c r="E123" s="122"/>
      <c r="F123" s="122"/>
      <c r="G123" s="122"/>
      <c r="H123" s="122"/>
      <c r="I123" s="122"/>
      <c r="J123" s="146"/>
    </row>
    <row r="124" spans="1:56" ht="15.75" customHeight="1" thickBot="1">
      <c r="A124" s="445"/>
      <c r="B124" s="147"/>
      <c r="C124" s="147"/>
      <c r="D124" s="147"/>
      <c r="E124" s="147"/>
      <c r="F124" s="147">
        <f>(B124-D124)/2</f>
        <v>0</v>
      </c>
      <c r="G124" s="148">
        <f>(B124-D124)-F124</f>
        <v>0</v>
      </c>
      <c r="H124" s="149">
        <f>(C124-E124)/2</f>
        <v>0</v>
      </c>
      <c r="I124" s="150">
        <f>(C124-E124)-H124</f>
        <v>0</v>
      </c>
      <c r="J124" s="151"/>
      <c r="K124" s="345" t="s">
        <v>20</v>
      </c>
      <c r="O124" s="97" t="s">
        <v>14</v>
      </c>
      <c r="P124" s="98" t="s">
        <v>27</v>
      </c>
      <c r="Q124" s="98" t="s">
        <v>28</v>
      </c>
      <c r="R124" s="98" t="s">
        <v>27</v>
      </c>
      <c r="S124" s="98" t="s">
        <v>28</v>
      </c>
      <c r="T124" s="98" t="s">
        <v>29</v>
      </c>
      <c r="U124" s="66" t="s">
        <v>30</v>
      </c>
      <c r="V124" s="153" t="s">
        <v>31</v>
      </c>
      <c r="W124" s="153"/>
      <c r="X124" s="153"/>
      <c r="Y124" s="154" t="s">
        <v>83</v>
      </c>
      <c r="Z124" s="100" t="s">
        <v>83</v>
      </c>
      <c r="AA124" s="100" t="s">
        <v>83</v>
      </c>
      <c r="AB124" s="98" t="s">
        <v>84</v>
      </c>
      <c r="AC124" s="98" t="s">
        <v>93</v>
      </c>
      <c r="AD124" s="100" t="s">
        <v>94</v>
      </c>
      <c r="AE124" s="100" t="s">
        <v>34</v>
      </c>
      <c r="AF124" s="98" t="s">
        <v>32</v>
      </c>
      <c r="AG124" s="98" t="s">
        <v>32</v>
      </c>
      <c r="AH124" s="98" t="s">
        <v>50</v>
      </c>
      <c r="AI124" s="101" t="s">
        <v>36</v>
      </c>
      <c r="AK124" s="97" t="str">
        <f>informatieblad!$A$6</f>
        <v>FL20</v>
      </c>
      <c r="AL124" s="99"/>
      <c r="AM124" s="97" t="str">
        <f>informatieblad!$A$7</f>
        <v>FL30</v>
      </c>
      <c r="AN124" s="66"/>
      <c r="AO124" s="99" t="str">
        <f>informatieblad!$A$8</f>
        <v>FL40</v>
      </c>
      <c r="AP124" s="66"/>
      <c r="AQ124" s="97" t="str">
        <f>informatieblad!$A$5</f>
        <v>none</v>
      </c>
      <c r="AR124" s="264"/>
      <c r="AT124" s="266" t="s">
        <v>17</v>
      </c>
      <c r="AW124" s="266" t="s">
        <v>37</v>
      </c>
      <c r="AY124" s="269" t="s">
        <v>38</v>
      </c>
      <c r="AZ124" s="272"/>
      <c r="BA124" s="272">
        <f>informatieblad!$B$3</f>
        <v>0</v>
      </c>
      <c r="BB124" s="272">
        <f>informatieblad!$B$3</f>
        <v>0</v>
      </c>
      <c r="BC124" s="272">
        <f>informatieblad!$B$4</f>
        <v>0</v>
      </c>
      <c r="BD124" s="264">
        <f>informatieblad!$B$4</f>
        <v>0</v>
      </c>
    </row>
    <row r="125" spans="1:56" ht="15.75" customHeight="1">
      <c r="A125" s="446"/>
      <c r="B125" s="471" t="str">
        <f>IF($C126&gt;0,IF(MAX(B124:C124)&lt;informatieblad!$Q$4,informatieblad!$P$3,IF(MAX(B124:C124)&gt;informatieblad!$R$4,informatieblad!$P$5,informatieblad!$P$4)),"")</f>
        <v/>
      </c>
      <c r="C125" s="472"/>
      <c r="D125" s="471" t="str">
        <f>IF($C126&gt;0,IF(MAX(D124:E124)&lt;informatieblad!$Q$4,informatieblad!$P$3,IF(MAX(D124:E124)&gt;informatieblad!$R$4,informatieblad!$P$5,informatieblad!$P$4)),"")</f>
        <v/>
      </c>
      <c r="E125" s="472"/>
      <c r="F125" s="134" t="str">
        <f>A124&amp;"-"&amp;informatieblad!$B$13&amp;"-"&amp;B124&amp;"-"&amp;C124&amp;"-"&amp;D124&amp;"-"&amp;E124&amp;"-"&amp;F124&amp;"-"&amp;G124&amp;"-"&amp;H124&amp;"-"&amp;I124&amp;"-"&amp;J124&amp;"-"&amp;B125&amp;"-"&amp;G126</f>
        <v>-RctR-----0-0-0-0---Options None</v>
      </c>
      <c r="G125" s="88"/>
      <c r="H125" s="469" t="s">
        <v>82</v>
      </c>
      <c r="I125" s="470"/>
      <c r="J125" s="135" t="str">
        <f>(IF($C126&gt;0,(IF(240&gt;(MAX(C124-E124,E124-C124,B124-D124,D124-B124))/2*1.732,240,(MAX(C124-E124,E124-C124,B124-D124,D124-B124))/2*1.732)+30+30),""))</f>
        <v/>
      </c>
      <c r="O125" s="103">
        <f>A124</f>
        <v>0</v>
      </c>
      <c r="P125" s="104" t="s">
        <v>39</v>
      </c>
      <c r="Q125" s="104" t="s">
        <v>39</v>
      </c>
      <c r="R125" s="104" t="s">
        <v>40</v>
      </c>
      <c r="S125" s="104" t="s">
        <v>40</v>
      </c>
      <c r="T125" s="104" t="s">
        <v>40</v>
      </c>
      <c r="U125" s="105"/>
      <c r="V125" s="155" t="s">
        <v>27</v>
      </c>
      <c r="W125" s="155" t="s">
        <v>40</v>
      </c>
      <c r="X125" s="155" t="s">
        <v>41</v>
      </c>
      <c r="Y125" s="156" t="s">
        <v>95</v>
      </c>
      <c r="Z125" s="104" t="s">
        <v>96</v>
      </c>
      <c r="AA125" s="104"/>
      <c r="AC125" s="136" t="s">
        <v>95</v>
      </c>
      <c r="AD125" s="136" t="s">
        <v>96</v>
      </c>
      <c r="AE125" s="107"/>
      <c r="AF125" s="104" t="s">
        <v>40</v>
      </c>
      <c r="AG125" s="104" t="s">
        <v>41</v>
      </c>
      <c r="AH125" s="108"/>
      <c r="AI125" s="109"/>
      <c r="AK125" s="262" t="str">
        <f>informatieblad!$A$2</f>
        <v>FL20 loose</v>
      </c>
      <c r="AL125" s="263"/>
      <c r="AM125" s="262" t="str">
        <f>informatieblad!$A$3</f>
        <v>FL30 loose</v>
      </c>
      <c r="AN125" s="105"/>
      <c r="AO125" s="263" t="str">
        <f>informatieblad!$A$4</f>
        <v>FL40 loose</v>
      </c>
      <c r="AP125" s="105"/>
      <c r="AQ125" s="265"/>
      <c r="AR125" s="105"/>
      <c r="AT125" s="267"/>
      <c r="AV125" s="83" t="str">
        <f>'UC mounting materials '!$B$10</f>
        <v>Rail 30x15</v>
      </c>
      <c r="AW125" s="327">
        <f>IF(AA126&lt;1000,(AA126+100),0)*C126</f>
        <v>0</v>
      </c>
      <c r="AY125" s="265" t="s">
        <v>47</v>
      </c>
      <c r="AZ125" s="106" t="s">
        <v>48</v>
      </c>
      <c r="BA125" s="83" t="s">
        <v>23</v>
      </c>
      <c r="BB125" s="83" t="s">
        <v>23</v>
      </c>
      <c r="BC125" s="83" t="s">
        <v>23</v>
      </c>
      <c r="BD125" s="273" t="s">
        <v>23</v>
      </c>
    </row>
    <row r="126" spans="1:56" ht="15.75" customHeight="1" thickBot="1">
      <c r="A126" s="476"/>
      <c r="B126" s="137" t="s">
        <v>23</v>
      </c>
      <c r="C126" s="157"/>
      <c r="D126" s="139"/>
      <c r="E126" s="140">
        <f>C126*Q126</f>
        <v>0</v>
      </c>
      <c r="F126" s="141" t="s">
        <v>24</v>
      </c>
      <c r="G126" s="461" t="s">
        <v>25</v>
      </c>
      <c r="H126" s="473"/>
      <c r="I126" s="473"/>
      <c r="J126" s="474"/>
      <c r="O126" s="111"/>
      <c r="P126" s="112">
        <f>(((2*(Y126+Z126))*(J124))/1000000)</f>
        <v>0</v>
      </c>
      <c r="Q126" s="112">
        <f>((IF(P126&lt;=informatieblad!$I$13,informatieblad!$I$13,IF(P126&gt;=informatieblad!$I$13,P126))))</f>
        <v>0.5</v>
      </c>
      <c r="R126" s="158">
        <f>ROUND((((2*(Y126+Z126))*AB126)/1000000),2)</f>
        <v>0</v>
      </c>
      <c r="S126" s="112">
        <f>((IF(R126&lt;=informatieblad!$H$13,informatieblad!$H$13,IF(R126&gt;=informatieblad!$H$13,R126))))</f>
        <v>0</v>
      </c>
      <c r="T126" s="113">
        <f>((S126*AF126)+(S126*W126))*C126</f>
        <v>0</v>
      </c>
      <c r="U126" s="114">
        <f>((Q126*AG126)+(Q126*X126))*C126</f>
        <v>0</v>
      </c>
      <c r="V126" s="115" t="str">
        <f>G126</f>
        <v>Options None</v>
      </c>
      <c r="W126" s="115">
        <f>VLOOKUP(G126,informatieblad!$A$37:$D$41,2,FALSE)</f>
        <v>0</v>
      </c>
      <c r="X126" s="115">
        <f>VLOOKUP(G126,informatieblad!$A$37:$D$41,4,FALSE)</f>
        <v>0</v>
      </c>
      <c r="Y126" s="159">
        <f>(MAX(B124,D124))</f>
        <v>0</v>
      </c>
      <c r="Z126" s="160">
        <f>(MAX(C124,E124))</f>
        <v>0</v>
      </c>
      <c r="AA126" s="160">
        <f>(MAX(B124:E124))</f>
        <v>0</v>
      </c>
      <c r="AB126" s="161">
        <f>(MAX(AD126,AC126))</f>
        <v>0</v>
      </c>
      <c r="AC126" s="162">
        <f>ROUND((SQRT((((MAX(F124,G124))^2)+(J124^2)))),0)</f>
        <v>0</v>
      </c>
      <c r="AD126" s="163">
        <f>ROUND((SQRT((((MAX(H124,I124))^2)+(J124^2)))),0)</f>
        <v>0</v>
      </c>
      <c r="AE126" s="119">
        <f>LOOKUP(AA126,informatieblad!$C$27:$C$32,informatieblad!$A$27:$A$32)</f>
        <v>0.5</v>
      </c>
      <c r="AF126" s="118">
        <f>VLOOKUP(AE126,informatieblad!$A$27:$M$32,6,FALSE)</f>
        <v>0</v>
      </c>
      <c r="AG126" s="118">
        <f>VLOOKUP(AE126,informatieblad!$A$27:$M$32,8,FALSE)</f>
        <v>45.1248</v>
      </c>
      <c r="AH126" s="120">
        <f>VLOOKUP(AE126,informatieblad!$A$27:$M$32,13,FALSE)</f>
        <v>4</v>
      </c>
      <c r="AI126" s="121">
        <f>ROUND((AH126*S126),1)</f>
        <v>0</v>
      </c>
      <c r="AK126" s="111">
        <f>(IF(B125=AK124,((2*B124)+(2*C124)),IF(B125=AK125,((2*B124)+(2*C124)),0)))*C126</f>
        <v>0</v>
      </c>
      <c r="AL126" s="261">
        <f>(IF(D125=AK124,((2*D124)+(2*E124)),IF(D125=AK125,((2*D124)+(2*E124)),0)))*C126</f>
        <v>0</v>
      </c>
      <c r="AM126" s="111">
        <f>(IF(D125=AM124,((2*B124)+(2*C124)),IF(D125=AM125,((2*B124)+(2*C124)),0)))*C126</f>
        <v>0</v>
      </c>
      <c r="AN126" s="260">
        <f>(IF(D125=AM124,((2*D124)+(2*E124)),IF(D125=AM125,((2*D124)+(2*E124)),0)))*C126</f>
        <v>0</v>
      </c>
      <c r="AO126" s="261">
        <f>(IF(B125=AO124,((2*B124)+(2*C124)),IF(B125=AO125,((2*B124)+(2*C124)),0)))*C126</f>
        <v>0</v>
      </c>
      <c r="AP126" s="260">
        <f>(IF(D125=AO124,((2*D124)+(2*E124)),IF(D125=AO125,((2*D124)+(2*E124)),0)))*C126</f>
        <v>0</v>
      </c>
      <c r="AQ126" s="111">
        <f>(IF(B125=AQ124,((2*B124)+(2*C124)),0))*C126</f>
        <v>0</v>
      </c>
      <c r="AR126" s="260">
        <f>(IF(D125=AQ124,((2*D124)+(2*E124)),0))*C126</f>
        <v>0</v>
      </c>
      <c r="AT126" s="268">
        <f>J124*C126</f>
        <v>0</v>
      </c>
      <c r="AV126" s="83" t="str">
        <f>'UC mounting materials '!$B$11</f>
        <v>Rail 41x41</v>
      </c>
      <c r="AW126" s="268">
        <f>IF(AA126&gt;999,(AA126+100),0)*C126</f>
        <v>0</v>
      </c>
      <c r="AY126" s="111" t="str">
        <f>IF(B125=informatieblad!$A$6,informatieblad!$B$6,IF(B125=informatieblad!$A$7,informatieblad!$B$7,IF(B125=informatieblad!$A$8,informatieblad!$B$8,IF(B125=informatieblad!$A$2,informatieblad!$B$2,IF(B125=informatieblad!$A$3,informatieblad!$B$3,IF(B125=informatieblad!$A$4,informatieblad!$B$4,IF(B125=informatieblad!$A$5,informatieblad!$B$5,"")))))))</f>
        <v/>
      </c>
      <c r="AZ126" s="275" t="str">
        <f>IF(D125=informatieblad!$A$6,informatieblad!$B$6,IF(D125=informatieblad!$A$7,informatieblad!$B$7,IF(D125=informatieblad!$A$8,informatieblad!$B$8,IF(D125=informatieblad!$A$2,informatieblad!$B$2,IF(D125=informatieblad!$A$3,informatieblad!$B$3,IF(D125=informatieblad!$A$4,informatieblad!$B$4,IF(D125=informatieblad!$A$5,informatieblad!$B$5,"")))))))</f>
        <v/>
      </c>
      <c r="BA126" s="276">
        <f>IF(AY126=BA124,(4*C126),0)</f>
        <v>0</v>
      </c>
      <c r="BB126" s="276">
        <f>IF(AZ126=BA124,(4*C126),0)</f>
        <v>0</v>
      </c>
      <c r="BC126" s="276">
        <f>IF(AY126=BC124,(4*C126),0)</f>
        <v>0</v>
      </c>
      <c r="BD126" s="274">
        <f>IF(AZ126=BC124,(4*C126),0)</f>
        <v>0</v>
      </c>
    </row>
    <row r="127" spans="1:56" ht="5.0999999999999996" customHeight="1" thickBot="1">
      <c r="A127" s="145"/>
      <c r="B127" s="122"/>
      <c r="C127" s="122"/>
      <c r="D127" s="122"/>
      <c r="E127" s="122"/>
      <c r="F127" s="122"/>
      <c r="G127" s="122"/>
      <c r="H127" s="122"/>
      <c r="I127" s="122"/>
      <c r="J127" s="146"/>
    </row>
    <row r="128" spans="1:56" ht="15.75" customHeight="1" thickBot="1">
      <c r="A128" s="445"/>
      <c r="B128" s="147"/>
      <c r="C128" s="147"/>
      <c r="D128" s="147"/>
      <c r="E128" s="147"/>
      <c r="F128" s="147">
        <f>(B128-D128)/2</f>
        <v>0</v>
      </c>
      <c r="G128" s="148">
        <f>(B128-D128)-F128</f>
        <v>0</v>
      </c>
      <c r="H128" s="149">
        <f>(C128-E128)/2</f>
        <v>0</v>
      </c>
      <c r="I128" s="150">
        <f>(C128-E128)-H128</f>
        <v>0</v>
      </c>
      <c r="J128" s="151"/>
      <c r="K128" s="345" t="s">
        <v>20</v>
      </c>
      <c r="O128" s="97" t="s">
        <v>14</v>
      </c>
      <c r="P128" s="98" t="s">
        <v>27</v>
      </c>
      <c r="Q128" s="98" t="s">
        <v>28</v>
      </c>
      <c r="R128" s="98" t="s">
        <v>27</v>
      </c>
      <c r="S128" s="98" t="s">
        <v>28</v>
      </c>
      <c r="T128" s="98" t="s">
        <v>29</v>
      </c>
      <c r="U128" s="66" t="s">
        <v>30</v>
      </c>
      <c r="V128" s="153" t="s">
        <v>31</v>
      </c>
      <c r="W128" s="153"/>
      <c r="X128" s="153"/>
      <c r="Y128" s="154" t="s">
        <v>83</v>
      </c>
      <c r="Z128" s="100" t="s">
        <v>83</v>
      </c>
      <c r="AA128" s="100" t="s">
        <v>83</v>
      </c>
      <c r="AB128" s="98" t="s">
        <v>84</v>
      </c>
      <c r="AC128" s="98" t="s">
        <v>93</v>
      </c>
      <c r="AD128" s="100" t="s">
        <v>94</v>
      </c>
      <c r="AE128" s="100" t="s">
        <v>34</v>
      </c>
      <c r="AF128" s="98" t="s">
        <v>32</v>
      </c>
      <c r="AG128" s="98" t="s">
        <v>32</v>
      </c>
      <c r="AH128" s="98" t="s">
        <v>50</v>
      </c>
      <c r="AI128" s="101" t="s">
        <v>36</v>
      </c>
      <c r="AK128" s="97" t="str">
        <f>informatieblad!$A$6</f>
        <v>FL20</v>
      </c>
      <c r="AL128" s="99"/>
      <c r="AM128" s="97" t="str">
        <f>informatieblad!$A$7</f>
        <v>FL30</v>
      </c>
      <c r="AN128" s="66"/>
      <c r="AO128" s="99" t="str">
        <f>informatieblad!$A$8</f>
        <v>FL40</v>
      </c>
      <c r="AP128" s="66"/>
      <c r="AQ128" s="97" t="str">
        <f>informatieblad!$A$5</f>
        <v>none</v>
      </c>
      <c r="AR128" s="264"/>
      <c r="AT128" s="266" t="s">
        <v>17</v>
      </c>
      <c r="AW128" s="266" t="s">
        <v>37</v>
      </c>
      <c r="AY128" s="269" t="s">
        <v>38</v>
      </c>
      <c r="AZ128" s="272"/>
      <c r="BA128" s="272">
        <f>informatieblad!$B$3</f>
        <v>0</v>
      </c>
      <c r="BB128" s="272">
        <f>informatieblad!$B$3</f>
        <v>0</v>
      </c>
      <c r="BC128" s="272">
        <f>informatieblad!$B$4</f>
        <v>0</v>
      </c>
      <c r="BD128" s="264">
        <f>informatieblad!$B$4</f>
        <v>0</v>
      </c>
    </row>
    <row r="129" spans="1:56" ht="15.75" customHeight="1">
      <c r="A129" s="446"/>
      <c r="B129" s="471" t="str">
        <f>IF($C130&gt;0,IF(MAX(B128:C128)&lt;informatieblad!$Q$4,informatieblad!$P$3,IF(MAX(B128:C128)&gt;informatieblad!$R$4,informatieblad!$P$5,informatieblad!$P$4)),"")</f>
        <v/>
      </c>
      <c r="C129" s="472"/>
      <c r="D129" s="471" t="str">
        <f>IF($C130&gt;0,IF(MAX(D128:E128)&lt;informatieblad!$Q$4,informatieblad!$P$3,IF(MAX(D128:E128)&gt;informatieblad!$R$4,informatieblad!$P$5,informatieblad!$P$4)),"")</f>
        <v/>
      </c>
      <c r="E129" s="472"/>
      <c r="F129" s="134" t="str">
        <f>A128&amp;"-"&amp;informatieblad!$B$13&amp;"-"&amp;B128&amp;"-"&amp;C128&amp;"-"&amp;D128&amp;"-"&amp;E128&amp;"-"&amp;F128&amp;"-"&amp;G128&amp;"-"&amp;H128&amp;"-"&amp;I128&amp;"-"&amp;J128&amp;"-"&amp;B129&amp;"-"&amp;G130</f>
        <v>-RctR-----0-0-0-0---Options None</v>
      </c>
      <c r="G129" s="88"/>
      <c r="H129" s="469" t="s">
        <v>82</v>
      </c>
      <c r="I129" s="470"/>
      <c r="J129" s="135" t="str">
        <f>(IF($C130&gt;0,(IF(240&gt;(MAX(C128-E128,E128-C128,B128-D128,D128-B128))/2*1.732,240,(MAX(C128-E128,E128-C128,B128-D128,D128-B128))/2*1.732)+30+30),""))</f>
        <v/>
      </c>
      <c r="O129" s="103">
        <f>A128</f>
        <v>0</v>
      </c>
      <c r="P129" s="104" t="s">
        <v>39</v>
      </c>
      <c r="Q129" s="104" t="s">
        <v>39</v>
      </c>
      <c r="R129" s="104" t="s">
        <v>40</v>
      </c>
      <c r="S129" s="104" t="s">
        <v>40</v>
      </c>
      <c r="T129" s="104" t="s">
        <v>40</v>
      </c>
      <c r="U129" s="105"/>
      <c r="V129" s="155" t="s">
        <v>27</v>
      </c>
      <c r="W129" s="155" t="s">
        <v>40</v>
      </c>
      <c r="X129" s="155" t="s">
        <v>41</v>
      </c>
      <c r="Y129" s="156" t="s">
        <v>95</v>
      </c>
      <c r="Z129" s="104" t="s">
        <v>96</v>
      </c>
      <c r="AA129" s="104"/>
      <c r="AC129" s="136" t="s">
        <v>95</v>
      </c>
      <c r="AD129" s="136" t="s">
        <v>96</v>
      </c>
      <c r="AE129" s="107"/>
      <c r="AF129" s="104" t="s">
        <v>40</v>
      </c>
      <c r="AG129" s="104" t="s">
        <v>41</v>
      </c>
      <c r="AH129" s="108"/>
      <c r="AI129" s="109"/>
      <c r="AK129" s="262" t="str">
        <f>informatieblad!$A$2</f>
        <v>FL20 loose</v>
      </c>
      <c r="AL129" s="263"/>
      <c r="AM129" s="262" t="str">
        <f>informatieblad!$A$3</f>
        <v>FL30 loose</v>
      </c>
      <c r="AN129" s="105"/>
      <c r="AO129" s="263" t="str">
        <f>informatieblad!$A$4</f>
        <v>FL40 loose</v>
      </c>
      <c r="AP129" s="105"/>
      <c r="AQ129" s="265"/>
      <c r="AR129" s="105"/>
      <c r="AT129" s="267"/>
      <c r="AV129" s="83" t="str">
        <f>'UC mounting materials '!$B$10</f>
        <v>Rail 30x15</v>
      </c>
      <c r="AW129" s="327">
        <f>IF(AA130&lt;1000,(AA130+100),0)*C130</f>
        <v>0</v>
      </c>
      <c r="AY129" s="265" t="s">
        <v>47</v>
      </c>
      <c r="AZ129" s="106" t="s">
        <v>48</v>
      </c>
      <c r="BA129" s="83" t="s">
        <v>23</v>
      </c>
      <c r="BB129" s="83" t="s">
        <v>23</v>
      </c>
      <c r="BC129" s="83" t="s">
        <v>23</v>
      </c>
      <c r="BD129" s="273" t="s">
        <v>23</v>
      </c>
    </row>
    <row r="130" spans="1:56" ht="15.75" customHeight="1" thickBot="1">
      <c r="A130" s="476"/>
      <c r="B130" s="137" t="s">
        <v>23</v>
      </c>
      <c r="C130" s="157"/>
      <c r="D130" s="139"/>
      <c r="E130" s="140">
        <f>C130*Q130</f>
        <v>0</v>
      </c>
      <c r="F130" s="141" t="s">
        <v>24</v>
      </c>
      <c r="G130" s="461" t="s">
        <v>25</v>
      </c>
      <c r="H130" s="473"/>
      <c r="I130" s="473"/>
      <c r="J130" s="474"/>
      <c r="O130" s="111"/>
      <c r="P130" s="112">
        <f>(((2*(Y130+Z130))*(J128))/1000000)</f>
        <v>0</v>
      </c>
      <c r="Q130" s="112">
        <f>((IF(P130&lt;=informatieblad!$I$13,informatieblad!$I$13,IF(P130&gt;=informatieblad!$I$13,P130))))</f>
        <v>0.5</v>
      </c>
      <c r="R130" s="158">
        <f>ROUND((((2*(Y130+Z130))*AB130)/1000000),2)</f>
        <v>0</v>
      </c>
      <c r="S130" s="112">
        <f>((IF(R130&lt;=informatieblad!$H$13,informatieblad!$H$13,IF(R130&gt;=informatieblad!$H$13,R130))))</f>
        <v>0</v>
      </c>
      <c r="T130" s="113">
        <f>((S130*AF130)+(S130*W130))*C130</f>
        <v>0</v>
      </c>
      <c r="U130" s="114">
        <f>((Q130*AG130)+(Q130*X130))*C130</f>
        <v>0</v>
      </c>
      <c r="V130" s="115" t="str">
        <f>G130</f>
        <v>Options None</v>
      </c>
      <c r="W130" s="115">
        <f>VLOOKUP(G130,informatieblad!$A$37:$D$41,2,FALSE)</f>
        <v>0</v>
      </c>
      <c r="X130" s="115">
        <f>VLOOKUP(G130,informatieblad!$A$37:$D$41,4,FALSE)</f>
        <v>0</v>
      </c>
      <c r="Y130" s="159">
        <f>(MAX(B128,D128))</f>
        <v>0</v>
      </c>
      <c r="Z130" s="160">
        <f>(MAX(C128,E128))</f>
        <v>0</v>
      </c>
      <c r="AA130" s="160">
        <f>(MAX(B128:E128))</f>
        <v>0</v>
      </c>
      <c r="AB130" s="161">
        <f>(MAX(AD130,AC130))</f>
        <v>0</v>
      </c>
      <c r="AC130" s="162">
        <f>ROUND((SQRT((((MAX(F128,G128))^2)+(J128^2)))),0)</f>
        <v>0</v>
      </c>
      <c r="AD130" s="163">
        <f>ROUND((SQRT((((MAX(H128,I128))^2)+(J128^2)))),0)</f>
        <v>0</v>
      </c>
      <c r="AE130" s="119">
        <f>LOOKUP(AA130,informatieblad!$C$27:$C$32,informatieblad!$A$27:$A$32)</f>
        <v>0.5</v>
      </c>
      <c r="AF130" s="118">
        <f>VLOOKUP(AE130,informatieblad!$A$27:$M$32,6,FALSE)</f>
        <v>0</v>
      </c>
      <c r="AG130" s="118">
        <f>VLOOKUP(AE130,informatieblad!$A$27:$M$32,8,FALSE)</f>
        <v>45.1248</v>
      </c>
      <c r="AH130" s="120">
        <f>VLOOKUP(AE130,informatieblad!$A$27:$M$32,13,FALSE)</f>
        <v>4</v>
      </c>
      <c r="AI130" s="121">
        <f>ROUND((AH130*S130),1)</f>
        <v>0</v>
      </c>
      <c r="AK130" s="111">
        <f>(IF(B129=AK128,((2*B128)+(2*C128)),IF(B129=AK129,((2*B128)+(2*C128)),0)))*C130</f>
        <v>0</v>
      </c>
      <c r="AL130" s="261">
        <f>(IF(D129=AK128,((2*D128)+(2*E128)),IF(D129=AK129,((2*D128)+(2*E128)),0)))*C130</f>
        <v>0</v>
      </c>
      <c r="AM130" s="111">
        <f>(IF(D129=AM128,((2*B128)+(2*C128)),IF(D129=AM129,((2*B128)+(2*C128)),0)))*C130</f>
        <v>0</v>
      </c>
      <c r="AN130" s="260">
        <f>(IF(D129=AM128,((2*D128)+(2*E128)),IF(D129=AM129,((2*D128)+(2*E128)),0)))*C130</f>
        <v>0</v>
      </c>
      <c r="AO130" s="261">
        <f>(IF(B129=AO128,((2*B128)+(2*C128)),IF(B129=AO129,((2*B128)+(2*C128)),0)))*C130</f>
        <v>0</v>
      </c>
      <c r="AP130" s="260">
        <f>(IF(D129=AO128,((2*D128)+(2*E128)),IF(D129=AO129,((2*D128)+(2*E128)),0)))*C130</f>
        <v>0</v>
      </c>
      <c r="AQ130" s="111">
        <f>(IF(B129=AQ128,((2*B128)+(2*C128)),0))*C130</f>
        <v>0</v>
      </c>
      <c r="AR130" s="260">
        <f>(IF(D129=AQ128,((2*D128)+(2*E128)),0))*C130</f>
        <v>0</v>
      </c>
      <c r="AT130" s="268">
        <f>J128*C130</f>
        <v>0</v>
      </c>
      <c r="AV130" s="83" t="str">
        <f>'UC mounting materials '!$B$11</f>
        <v>Rail 41x41</v>
      </c>
      <c r="AW130" s="268">
        <f>IF(AA130&gt;999,(AA130+100),0)*C130</f>
        <v>0</v>
      </c>
      <c r="AY130" s="111" t="str">
        <f>IF(B129=informatieblad!$A$6,informatieblad!$B$6,IF(B129=informatieblad!$A$7,informatieblad!$B$7,IF(B129=informatieblad!$A$8,informatieblad!$B$8,IF(B129=informatieblad!$A$2,informatieblad!$B$2,IF(B129=informatieblad!$A$3,informatieblad!$B$3,IF(B129=informatieblad!$A$4,informatieblad!$B$4,IF(B129=informatieblad!$A$5,informatieblad!$B$5,"")))))))</f>
        <v/>
      </c>
      <c r="AZ130" s="275" t="str">
        <f>IF(D129=informatieblad!$A$6,informatieblad!$B$6,IF(D129=informatieblad!$A$7,informatieblad!$B$7,IF(D129=informatieblad!$A$8,informatieblad!$B$8,IF(D129=informatieblad!$A$2,informatieblad!$B$2,IF(D129=informatieblad!$A$3,informatieblad!$B$3,IF(D129=informatieblad!$A$4,informatieblad!$B$4,IF(D129=informatieblad!$A$5,informatieblad!$B$5,"")))))))</f>
        <v/>
      </c>
      <c r="BA130" s="276">
        <f>IF(AY130=BA128,(4*C130),0)</f>
        <v>0</v>
      </c>
      <c r="BB130" s="276">
        <f>IF(AZ130=BA128,(4*C130),0)</f>
        <v>0</v>
      </c>
      <c r="BC130" s="276">
        <f>IF(AY130=BC128,(4*C130),0)</f>
        <v>0</v>
      </c>
      <c r="BD130" s="274">
        <f>IF(AZ130=BC128,(4*C130),0)</f>
        <v>0</v>
      </c>
    </row>
    <row r="131" spans="1:56" ht="5.0999999999999996" customHeight="1" thickBot="1">
      <c r="A131" s="145"/>
      <c r="B131" s="122"/>
      <c r="C131" s="122"/>
      <c r="D131" s="122"/>
      <c r="E131" s="122"/>
      <c r="F131" s="122"/>
      <c r="G131" s="122"/>
      <c r="H131" s="122"/>
      <c r="I131" s="122"/>
      <c r="J131" s="146"/>
    </row>
    <row r="132" spans="1:56" ht="15.75" customHeight="1" thickBot="1">
      <c r="A132" s="445"/>
      <c r="B132" s="147"/>
      <c r="C132" s="147"/>
      <c r="D132" s="147"/>
      <c r="E132" s="147"/>
      <c r="F132" s="147">
        <f>(B132-D132)/2</f>
        <v>0</v>
      </c>
      <c r="G132" s="148">
        <f>(B132-D132)-F132</f>
        <v>0</v>
      </c>
      <c r="H132" s="149">
        <f>(C132-E132)/2</f>
        <v>0</v>
      </c>
      <c r="I132" s="150">
        <f>(C132-E132)-H132</f>
        <v>0</v>
      </c>
      <c r="J132" s="151"/>
      <c r="K132" s="345" t="s">
        <v>20</v>
      </c>
      <c r="O132" s="97" t="s">
        <v>14</v>
      </c>
      <c r="P132" s="98" t="s">
        <v>27</v>
      </c>
      <c r="Q132" s="98" t="s">
        <v>28</v>
      </c>
      <c r="R132" s="98" t="s">
        <v>27</v>
      </c>
      <c r="S132" s="98" t="s">
        <v>28</v>
      </c>
      <c r="T132" s="98" t="s">
        <v>29</v>
      </c>
      <c r="U132" s="66" t="s">
        <v>30</v>
      </c>
      <c r="V132" s="153" t="s">
        <v>31</v>
      </c>
      <c r="W132" s="153"/>
      <c r="X132" s="153"/>
      <c r="Y132" s="154" t="s">
        <v>83</v>
      </c>
      <c r="Z132" s="100" t="s">
        <v>83</v>
      </c>
      <c r="AA132" s="100" t="s">
        <v>83</v>
      </c>
      <c r="AB132" s="98" t="s">
        <v>84</v>
      </c>
      <c r="AC132" s="98" t="s">
        <v>93</v>
      </c>
      <c r="AD132" s="100" t="s">
        <v>94</v>
      </c>
      <c r="AE132" s="100" t="s">
        <v>34</v>
      </c>
      <c r="AF132" s="98" t="s">
        <v>32</v>
      </c>
      <c r="AG132" s="98" t="s">
        <v>32</v>
      </c>
      <c r="AH132" s="98" t="s">
        <v>50</v>
      </c>
      <c r="AI132" s="101" t="s">
        <v>36</v>
      </c>
      <c r="AK132" s="97" t="str">
        <f>informatieblad!$A$6</f>
        <v>FL20</v>
      </c>
      <c r="AL132" s="99"/>
      <c r="AM132" s="97" t="str">
        <f>informatieblad!$A$7</f>
        <v>FL30</v>
      </c>
      <c r="AN132" s="66"/>
      <c r="AO132" s="99" t="str">
        <f>informatieblad!$A$8</f>
        <v>FL40</v>
      </c>
      <c r="AP132" s="66"/>
      <c r="AQ132" s="97" t="str">
        <f>informatieblad!$A$5</f>
        <v>none</v>
      </c>
      <c r="AR132" s="264"/>
      <c r="AT132" s="266" t="s">
        <v>17</v>
      </c>
      <c r="AW132" s="266" t="s">
        <v>37</v>
      </c>
      <c r="AY132" s="269" t="s">
        <v>38</v>
      </c>
      <c r="AZ132" s="272"/>
      <c r="BA132" s="272">
        <f>informatieblad!$B$3</f>
        <v>0</v>
      </c>
      <c r="BB132" s="272">
        <f>informatieblad!$B$3</f>
        <v>0</v>
      </c>
      <c r="BC132" s="272">
        <f>informatieblad!$B$4</f>
        <v>0</v>
      </c>
      <c r="BD132" s="264">
        <f>informatieblad!$B$4</f>
        <v>0</v>
      </c>
    </row>
    <row r="133" spans="1:56" ht="15.75" customHeight="1">
      <c r="A133" s="446"/>
      <c r="B133" s="471" t="str">
        <f>IF($C134&gt;0,IF(MAX(B132:C132)&lt;informatieblad!$Q$4,informatieblad!$P$3,IF(MAX(B132:C132)&gt;informatieblad!$R$4,informatieblad!$P$5,informatieblad!$P$4)),"")</f>
        <v/>
      </c>
      <c r="C133" s="472"/>
      <c r="D133" s="471" t="str">
        <f>IF($C134&gt;0,IF(MAX(D132:E132)&lt;informatieblad!$Q$4,informatieblad!$P$3,IF(MAX(D132:E132)&gt;informatieblad!$R$4,informatieblad!$P$5,informatieblad!$P$4)),"")</f>
        <v/>
      </c>
      <c r="E133" s="472"/>
      <c r="F133" s="134" t="str">
        <f>A132&amp;"-"&amp;informatieblad!$B$13&amp;"-"&amp;B132&amp;"-"&amp;C132&amp;"-"&amp;D132&amp;"-"&amp;E132&amp;"-"&amp;F132&amp;"-"&amp;G132&amp;"-"&amp;H132&amp;"-"&amp;I132&amp;"-"&amp;J132&amp;"-"&amp;B133&amp;"-"&amp;G134</f>
        <v>-RctR-----0-0-0-0---Options None</v>
      </c>
      <c r="G133" s="88"/>
      <c r="H133" s="469" t="s">
        <v>82</v>
      </c>
      <c r="I133" s="470"/>
      <c r="J133" s="135" t="str">
        <f>(IF($C134&gt;0,(IF(240&gt;(MAX(C132-E132,E132-C132,B132-D132,D132-B132))/2*1.732,240,(MAX(C132-E132,E132-C132,B132-D132,D132-B132))/2*1.732)+30+30),""))</f>
        <v/>
      </c>
      <c r="O133" s="103">
        <f>A132</f>
        <v>0</v>
      </c>
      <c r="P133" s="104" t="s">
        <v>39</v>
      </c>
      <c r="Q133" s="104" t="s">
        <v>39</v>
      </c>
      <c r="R133" s="104" t="s">
        <v>40</v>
      </c>
      <c r="S133" s="104" t="s">
        <v>40</v>
      </c>
      <c r="T133" s="104" t="s">
        <v>40</v>
      </c>
      <c r="U133" s="105"/>
      <c r="V133" s="155" t="s">
        <v>27</v>
      </c>
      <c r="W133" s="155" t="s">
        <v>40</v>
      </c>
      <c r="X133" s="155" t="s">
        <v>41</v>
      </c>
      <c r="Y133" s="156" t="s">
        <v>95</v>
      </c>
      <c r="Z133" s="104" t="s">
        <v>96</v>
      </c>
      <c r="AA133" s="104"/>
      <c r="AC133" s="136" t="s">
        <v>95</v>
      </c>
      <c r="AD133" s="136" t="s">
        <v>96</v>
      </c>
      <c r="AE133" s="107"/>
      <c r="AF133" s="104" t="s">
        <v>40</v>
      </c>
      <c r="AG133" s="104" t="s">
        <v>41</v>
      </c>
      <c r="AH133" s="108"/>
      <c r="AI133" s="109"/>
      <c r="AK133" s="262" t="str">
        <f>informatieblad!$A$2</f>
        <v>FL20 loose</v>
      </c>
      <c r="AL133" s="263"/>
      <c r="AM133" s="262" t="str">
        <f>informatieblad!$A$3</f>
        <v>FL30 loose</v>
      </c>
      <c r="AN133" s="105"/>
      <c r="AO133" s="263" t="str">
        <f>informatieblad!$A$4</f>
        <v>FL40 loose</v>
      </c>
      <c r="AP133" s="105"/>
      <c r="AQ133" s="265"/>
      <c r="AR133" s="105"/>
      <c r="AT133" s="267"/>
      <c r="AV133" s="83" t="str">
        <f>'UC mounting materials '!$B$10</f>
        <v>Rail 30x15</v>
      </c>
      <c r="AW133" s="327">
        <f>IF(AA134&lt;1000,(AA134+100),0)*C134</f>
        <v>0</v>
      </c>
      <c r="AY133" s="265" t="s">
        <v>47</v>
      </c>
      <c r="AZ133" s="106" t="s">
        <v>48</v>
      </c>
      <c r="BA133" s="83" t="s">
        <v>23</v>
      </c>
      <c r="BB133" s="83" t="s">
        <v>23</v>
      </c>
      <c r="BC133" s="83" t="s">
        <v>23</v>
      </c>
      <c r="BD133" s="273" t="s">
        <v>23</v>
      </c>
    </row>
    <row r="134" spans="1:56" ht="15.75" customHeight="1" thickBot="1">
      <c r="A134" s="476"/>
      <c r="B134" s="137" t="s">
        <v>23</v>
      </c>
      <c r="C134" s="157"/>
      <c r="D134" s="139"/>
      <c r="E134" s="140">
        <f>C134*Q134</f>
        <v>0</v>
      </c>
      <c r="F134" s="141" t="s">
        <v>24</v>
      </c>
      <c r="G134" s="461" t="s">
        <v>25</v>
      </c>
      <c r="H134" s="473"/>
      <c r="I134" s="473"/>
      <c r="J134" s="474"/>
      <c r="O134" s="111"/>
      <c r="P134" s="112">
        <f>(((2*(Y134+Z134))*(J132))/1000000)</f>
        <v>0</v>
      </c>
      <c r="Q134" s="112">
        <f>((IF(P134&lt;=informatieblad!$I$13,informatieblad!$I$13,IF(P134&gt;=informatieblad!$I$13,P134))))</f>
        <v>0.5</v>
      </c>
      <c r="R134" s="158">
        <f>ROUND((((2*(Y134+Z134))*AB134)/1000000),2)</f>
        <v>0</v>
      </c>
      <c r="S134" s="112">
        <f>((IF(R134&lt;=informatieblad!$H$13,informatieblad!$H$13,IF(R134&gt;=informatieblad!$H$13,R134))))</f>
        <v>0</v>
      </c>
      <c r="T134" s="113">
        <f>((S134*AF134)+(S134*W134))*C134</f>
        <v>0</v>
      </c>
      <c r="U134" s="114">
        <f>((Q134*AG134)+(Q134*X134))*C134</f>
        <v>0</v>
      </c>
      <c r="V134" s="115" t="str">
        <f>G134</f>
        <v>Options None</v>
      </c>
      <c r="W134" s="115">
        <f>VLOOKUP(G134,informatieblad!$A$37:$D$41,2,FALSE)</f>
        <v>0</v>
      </c>
      <c r="X134" s="115">
        <f>VLOOKUP(G134,informatieblad!$A$37:$D$41,4,FALSE)</f>
        <v>0</v>
      </c>
      <c r="Y134" s="159">
        <f>(MAX(B132,D132))</f>
        <v>0</v>
      </c>
      <c r="Z134" s="160">
        <f>(MAX(C132,E132))</f>
        <v>0</v>
      </c>
      <c r="AA134" s="160">
        <f>(MAX(B132:E132))</f>
        <v>0</v>
      </c>
      <c r="AB134" s="161">
        <f>(MAX(AD134,AC134))</f>
        <v>0</v>
      </c>
      <c r="AC134" s="162">
        <f>ROUND((SQRT((((MAX(F132,G132))^2)+(J132^2)))),0)</f>
        <v>0</v>
      </c>
      <c r="AD134" s="163">
        <f>ROUND((SQRT((((MAX(H132,I132))^2)+(J132^2)))),0)</f>
        <v>0</v>
      </c>
      <c r="AE134" s="119">
        <f>LOOKUP(AA134,informatieblad!$C$27:$C$32,informatieblad!$A$27:$A$32)</f>
        <v>0.5</v>
      </c>
      <c r="AF134" s="118">
        <f>VLOOKUP(AE134,informatieblad!$A$27:$M$32,6,FALSE)</f>
        <v>0</v>
      </c>
      <c r="AG134" s="118">
        <f>VLOOKUP(AE134,informatieblad!$A$27:$M$32,8,FALSE)</f>
        <v>45.1248</v>
      </c>
      <c r="AH134" s="120">
        <f>VLOOKUP(AE134,informatieblad!$A$27:$M$32,13,FALSE)</f>
        <v>4</v>
      </c>
      <c r="AI134" s="121">
        <f>ROUND((AH134*S134),1)</f>
        <v>0</v>
      </c>
      <c r="AK134" s="111">
        <f>(IF(B133=AK132,((2*B132)+(2*C132)),IF(B133=AK133,((2*B132)+(2*C132)),0)))*C134</f>
        <v>0</v>
      </c>
      <c r="AL134" s="261">
        <f>(IF(D133=AK132,((2*D132)+(2*E132)),IF(D133=AK133,((2*D132)+(2*E132)),0)))*C134</f>
        <v>0</v>
      </c>
      <c r="AM134" s="111">
        <f>(IF(D133=AM132,((2*B132)+(2*C132)),IF(D133=AM133,((2*B132)+(2*C132)),0)))*C134</f>
        <v>0</v>
      </c>
      <c r="AN134" s="260">
        <f>(IF(D133=AM132,((2*D132)+(2*E132)),IF(D133=AM133,((2*D132)+(2*E132)),0)))*C134</f>
        <v>0</v>
      </c>
      <c r="AO134" s="261">
        <f>(IF(B133=AO132,((2*B132)+(2*C132)),IF(B133=AO133,((2*B132)+(2*C132)),0)))*C134</f>
        <v>0</v>
      </c>
      <c r="AP134" s="260">
        <f>(IF(D133=AO132,((2*D132)+(2*E132)),IF(D133=AO133,((2*D132)+(2*E132)),0)))*C134</f>
        <v>0</v>
      </c>
      <c r="AQ134" s="111">
        <f>(IF(B133=AQ132,((2*B132)+(2*C132)),0))*C134</f>
        <v>0</v>
      </c>
      <c r="AR134" s="260">
        <f>(IF(D133=AQ132,((2*D132)+(2*E132)),0))*C134</f>
        <v>0</v>
      </c>
      <c r="AT134" s="268">
        <f>J132*C134</f>
        <v>0</v>
      </c>
      <c r="AV134" s="83" t="str">
        <f>'UC mounting materials '!$B$11</f>
        <v>Rail 41x41</v>
      </c>
      <c r="AW134" s="268">
        <f>IF(AA134&gt;999,(AA134+100),0)*C134</f>
        <v>0</v>
      </c>
      <c r="AY134" s="111" t="str">
        <f>IF(B133=informatieblad!$A$6,informatieblad!$B$6,IF(B133=informatieblad!$A$7,informatieblad!$B$7,IF(B133=informatieblad!$A$8,informatieblad!$B$8,IF(B133=informatieblad!$A$2,informatieblad!$B$2,IF(B133=informatieblad!$A$3,informatieblad!$B$3,IF(B133=informatieblad!$A$4,informatieblad!$B$4,IF(B133=informatieblad!$A$5,informatieblad!$B$5,"")))))))</f>
        <v/>
      </c>
      <c r="AZ134" s="275" t="str">
        <f>IF(D133=informatieblad!$A$6,informatieblad!$B$6,IF(D133=informatieblad!$A$7,informatieblad!$B$7,IF(D133=informatieblad!$A$8,informatieblad!$B$8,IF(D133=informatieblad!$A$2,informatieblad!$B$2,IF(D133=informatieblad!$A$3,informatieblad!$B$3,IF(D133=informatieblad!$A$4,informatieblad!$B$4,IF(D133=informatieblad!$A$5,informatieblad!$B$5,"")))))))</f>
        <v/>
      </c>
      <c r="BA134" s="276">
        <f>IF(AY134=BA132,(4*C134),0)</f>
        <v>0</v>
      </c>
      <c r="BB134" s="276">
        <f>IF(AZ134=BA132,(4*C134),0)</f>
        <v>0</v>
      </c>
      <c r="BC134" s="276">
        <f>IF(AY134=BC132,(4*C134),0)</f>
        <v>0</v>
      </c>
      <c r="BD134" s="274">
        <f>IF(AZ134=BC132,(4*C134),0)</f>
        <v>0</v>
      </c>
    </row>
    <row r="135" spans="1:56" ht="5.0999999999999996" customHeight="1" thickBot="1">
      <c r="A135" s="145"/>
      <c r="B135" s="122"/>
      <c r="C135" s="122"/>
      <c r="D135" s="122"/>
      <c r="E135" s="122"/>
      <c r="F135" s="122"/>
      <c r="G135" s="122"/>
      <c r="H135" s="122"/>
      <c r="I135" s="122"/>
      <c r="J135" s="146"/>
      <c r="AY135" s="61"/>
      <c r="AZ135" s="62"/>
      <c r="BA135" s="62"/>
      <c r="BB135" s="62"/>
      <c r="BC135" s="62"/>
      <c r="BD135" s="63"/>
    </row>
    <row r="136" spans="1:56" ht="15.75" customHeight="1" thickBot="1">
      <c r="A136" s="445"/>
      <c r="B136" s="147"/>
      <c r="C136" s="147"/>
      <c r="D136" s="147"/>
      <c r="E136" s="147"/>
      <c r="F136" s="147">
        <f>(B136-D136)/2</f>
        <v>0</v>
      </c>
      <c r="G136" s="148">
        <f>(B136-D136)-F136</f>
        <v>0</v>
      </c>
      <c r="H136" s="149">
        <f>(C136-E136)/2</f>
        <v>0</v>
      </c>
      <c r="I136" s="150">
        <f>(C136-E136)-H136</f>
        <v>0</v>
      </c>
      <c r="J136" s="151"/>
      <c r="K136" s="345" t="s">
        <v>20</v>
      </c>
      <c r="O136" s="97" t="s">
        <v>14</v>
      </c>
      <c r="P136" s="98" t="s">
        <v>27</v>
      </c>
      <c r="Q136" s="98" t="s">
        <v>28</v>
      </c>
      <c r="R136" s="98" t="s">
        <v>27</v>
      </c>
      <c r="S136" s="98" t="s">
        <v>28</v>
      </c>
      <c r="T136" s="98" t="s">
        <v>29</v>
      </c>
      <c r="U136" s="66" t="s">
        <v>30</v>
      </c>
      <c r="V136" s="153" t="s">
        <v>31</v>
      </c>
      <c r="W136" s="153"/>
      <c r="X136" s="153"/>
      <c r="Y136" s="154" t="s">
        <v>83</v>
      </c>
      <c r="Z136" s="100" t="s">
        <v>83</v>
      </c>
      <c r="AA136" s="100" t="s">
        <v>83</v>
      </c>
      <c r="AB136" s="98" t="s">
        <v>84</v>
      </c>
      <c r="AC136" s="98" t="s">
        <v>93</v>
      </c>
      <c r="AD136" s="100" t="s">
        <v>94</v>
      </c>
      <c r="AE136" s="100" t="s">
        <v>34</v>
      </c>
      <c r="AF136" s="98" t="s">
        <v>32</v>
      </c>
      <c r="AG136" s="98" t="s">
        <v>32</v>
      </c>
      <c r="AH136" s="98" t="s">
        <v>50</v>
      </c>
      <c r="AI136" s="101" t="s">
        <v>36</v>
      </c>
      <c r="AK136" s="97" t="str">
        <f>informatieblad!$A$6</f>
        <v>FL20</v>
      </c>
      <c r="AL136" s="99"/>
      <c r="AM136" s="97" t="str">
        <f>informatieblad!$A$7</f>
        <v>FL30</v>
      </c>
      <c r="AN136" s="66"/>
      <c r="AO136" s="99" t="str">
        <f>informatieblad!$A$8</f>
        <v>FL40</v>
      </c>
      <c r="AP136" s="66"/>
      <c r="AQ136" s="97" t="str">
        <f>informatieblad!$A$5</f>
        <v>none</v>
      </c>
      <c r="AR136" s="264"/>
      <c r="AS136" s="62"/>
      <c r="AT136" s="266" t="s">
        <v>17</v>
      </c>
      <c r="AW136" s="266" t="s">
        <v>37</v>
      </c>
      <c r="AY136" s="269" t="s">
        <v>38</v>
      </c>
      <c r="AZ136" s="272"/>
      <c r="BA136" s="272">
        <f>informatieblad!$B$3</f>
        <v>0</v>
      </c>
      <c r="BB136" s="272">
        <f>informatieblad!$B$3</f>
        <v>0</v>
      </c>
      <c r="BC136" s="272">
        <f>informatieblad!$B$4</f>
        <v>0</v>
      </c>
      <c r="BD136" s="264">
        <f>informatieblad!$B$4</f>
        <v>0</v>
      </c>
    </row>
    <row r="137" spans="1:56" ht="15.75" customHeight="1">
      <c r="A137" s="446"/>
      <c r="B137" s="471" t="str">
        <f>IF($C138&gt;0,IF(MAX(B136:C136)&lt;informatieblad!$Q$4,informatieblad!$P$3,IF(MAX(B136:C136)&gt;informatieblad!$R$4,informatieblad!$P$5,informatieblad!$P$4)),"")</f>
        <v/>
      </c>
      <c r="C137" s="472"/>
      <c r="D137" s="471" t="str">
        <f>IF($C138&gt;0,IF(MAX(D136:E136)&lt;informatieblad!$Q$4,informatieblad!$P$3,IF(MAX(D136:E136)&gt;informatieblad!$R$4,informatieblad!$P$5,informatieblad!$P$4)),"")</f>
        <v/>
      </c>
      <c r="E137" s="472"/>
      <c r="F137" s="134" t="str">
        <f>A136&amp;"-"&amp;informatieblad!$B$13&amp;"-"&amp;B136&amp;"-"&amp;C136&amp;"-"&amp;D136&amp;"-"&amp;E136&amp;"-"&amp;F136&amp;"-"&amp;G136&amp;"-"&amp;H136&amp;"-"&amp;I136&amp;"-"&amp;J136&amp;"-"&amp;B137&amp;"-"&amp;G138</f>
        <v>-RctR-----0-0-0-0---Options None</v>
      </c>
      <c r="G137" s="88"/>
      <c r="H137" s="469" t="s">
        <v>82</v>
      </c>
      <c r="I137" s="470"/>
      <c r="J137" s="135" t="str">
        <f>(IF($C138&gt;0,(IF(240&gt;(MAX(C136-E136,E136-C136,B136-D136,D136-B136))/2*1.732,240,(MAX(C136-E136,E136-C136,B136-D136,D136-B136))/2*1.732)+30+30),""))</f>
        <v/>
      </c>
      <c r="O137" s="103">
        <f>A136</f>
        <v>0</v>
      </c>
      <c r="P137" s="104" t="s">
        <v>39</v>
      </c>
      <c r="Q137" s="104" t="s">
        <v>39</v>
      </c>
      <c r="R137" s="104" t="s">
        <v>40</v>
      </c>
      <c r="S137" s="104" t="s">
        <v>40</v>
      </c>
      <c r="T137" s="104" t="s">
        <v>40</v>
      </c>
      <c r="U137" s="105"/>
      <c r="V137" s="155" t="s">
        <v>27</v>
      </c>
      <c r="W137" s="155" t="s">
        <v>40</v>
      </c>
      <c r="X137" s="155" t="s">
        <v>41</v>
      </c>
      <c r="Y137" s="156" t="s">
        <v>95</v>
      </c>
      <c r="Z137" s="104" t="s">
        <v>96</v>
      </c>
      <c r="AA137" s="104"/>
      <c r="AC137" s="136" t="s">
        <v>95</v>
      </c>
      <c r="AD137" s="136" t="s">
        <v>96</v>
      </c>
      <c r="AE137" s="107"/>
      <c r="AF137" s="104" t="s">
        <v>40</v>
      </c>
      <c r="AG137" s="104" t="s">
        <v>41</v>
      </c>
      <c r="AH137" s="108"/>
      <c r="AI137" s="109"/>
      <c r="AK137" s="262" t="str">
        <f>informatieblad!$A$2</f>
        <v>FL20 loose</v>
      </c>
      <c r="AL137" s="263"/>
      <c r="AM137" s="262" t="str">
        <f>informatieblad!$A$3</f>
        <v>FL30 loose</v>
      </c>
      <c r="AN137" s="105"/>
      <c r="AO137" s="263" t="str">
        <f>informatieblad!$A$4</f>
        <v>FL40 loose</v>
      </c>
      <c r="AP137" s="105"/>
      <c r="AQ137" s="265"/>
      <c r="AR137" s="105"/>
      <c r="AT137" s="267"/>
      <c r="AV137" s="83" t="str">
        <f>'UC mounting materials '!$B$10</f>
        <v>Rail 30x15</v>
      </c>
      <c r="AW137" s="327">
        <f>IF(AA138&lt;1000,(AA138+100),0)*C138</f>
        <v>0</v>
      </c>
      <c r="AY137" s="265" t="s">
        <v>47</v>
      </c>
      <c r="AZ137" s="106" t="s">
        <v>48</v>
      </c>
      <c r="BA137" s="83" t="s">
        <v>23</v>
      </c>
      <c r="BB137" s="83" t="s">
        <v>23</v>
      </c>
      <c r="BC137" s="83" t="s">
        <v>23</v>
      </c>
      <c r="BD137" s="273" t="s">
        <v>23</v>
      </c>
    </row>
    <row r="138" spans="1:56" ht="15.75" customHeight="1" thickBot="1">
      <c r="A138" s="476"/>
      <c r="B138" s="137" t="s">
        <v>23</v>
      </c>
      <c r="C138" s="157"/>
      <c r="D138" s="139"/>
      <c r="E138" s="140">
        <f>C138*Q138</f>
        <v>0</v>
      </c>
      <c r="F138" s="141" t="s">
        <v>24</v>
      </c>
      <c r="G138" s="461" t="s">
        <v>25</v>
      </c>
      <c r="H138" s="473"/>
      <c r="I138" s="473"/>
      <c r="J138" s="474"/>
      <c r="O138" s="111"/>
      <c r="P138" s="112">
        <f>(((2*(Y138+Z138))*(J136))/1000000)</f>
        <v>0</v>
      </c>
      <c r="Q138" s="112">
        <f>((IF(P138&lt;=informatieblad!$I$13,informatieblad!$I$13,IF(P138&gt;=informatieblad!$I$13,P138))))</f>
        <v>0.5</v>
      </c>
      <c r="R138" s="158">
        <f>ROUND((((2*(Y138+Z138))*AB138)/1000000),2)</f>
        <v>0</v>
      </c>
      <c r="S138" s="158">
        <f>((IF(R138&lt;=informatieblad!$H$13,informatieblad!$H$13,IF(R138&gt;=informatieblad!$H$13,R138))))</f>
        <v>0</v>
      </c>
      <c r="T138" s="113">
        <f>((S138*AF138)+(S138*W138))*C138</f>
        <v>0</v>
      </c>
      <c r="U138" s="114">
        <f>((Q138*AG138)+(Q138*X138))*C138</f>
        <v>0</v>
      </c>
      <c r="V138" s="115" t="str">
        <f>G138</f>
        <v>Options None</v>
      </c>
      <c r="W138" s="115">
        <f>VLOOKUP(G138,informatieblad!$A$37:$D$41,2,FALSE)</f>
        <v>0</v>
      </c>
      <c r="X138" s="115">
        <f>VLOOKUP(G138,informatieblad!$A$37:$D$41,4,FALSE)</f>
        <v>0</v>
      </c>
      <c r="Y138" s="159">
        <f>(MAX(B136,D136))</f>
        <v>0</v>
      </c>
      <c r="Z138" s="160">
        <f>(MAX(C136,E136))</f>
        <v>0</v>
      </c>
      <c r="AA138" s="160">
        <f>(MAX(B136:E136))</f>
        <v>0</v>
      </c>
      <c r="AB138" s="161">
        <f>(MAX(AD138,AC138))</f>
        <v>0</v>
      </c>
      <c r="AC138" s="162">
        <f>ROUND((SQRT((((MAX(F136,G136))^2)+(J136^2)))),0)</f>
        <v>0</v>
      </c>
      <c r="AD138" s="163">
        <f>ROUND((SQRT((((MAX(H136,I136))^2)+(J136^2)))),0)</f>
        <v>0</v>
      </c>
      <c r="AE138" s="119">
        <f>LOOKUP(AA138,informatieblad!$C$27:$C$32,informatieblad!$A$27:$A$32)</f>
        <v>0.5</v>
      </c>
      <c r="AF138" s="118">
        <f>VLOOKUP(AE138,informatieblad!$A$27:$M$32,6,FALSE)</f>
        <v>0</v>
      </c>
      <c r="AG138" s="118">
        <f>VLOOKUP(AE138,informatieblad!$A$27:$M$32,8,FALSE)</f>
        <v>45.1248</v>
      </c>
      <c r="AH138" s="120">
        <f>VLOOKUP(AE138,informatieblad!$A$27:$M$32,13,FALSE)</f>
        <v>4</v>
      </c>
      <c r="AI138" s="121">
        <f>ROUND((AH138*S138),1)</f>
        <v>0</v>
      </c>
      <c r="AK138" s="111">
        <f>(IF(B137=AK136,((2*B136)+(2*C136)),IF(B137=AK137,((2*B136)+(2*C136)),0)))*C138</f>
        <v>0</v>
      </c>
      <c r="AL138" s="261">
        <f>(IF(D137=AK136,((2*D136)+(2*E136)),IF(D137=AK137,((2*D136)+(2*E136)),0)))*C138</f>
        <v>0</v>
      </c>
      <c r="AM138" s="111">
        <f>(IF(D137=AM136,((2*B136)+(2*C136)),IF(D137=AM137,((2*B136)+(2*C136)),0)))*C138</f>
        <v>0</v>
      </c>
      <c r="AN138" s="260">
        <f>(IF(D137=AM136,((2*D136)+(2*E136)),IF(D137=AM137,((2*D136)+(2*E136)),0)))*C138</f>
        <v>0</v>
      </c>
      <c r="AO138" s="261">
        <f>(IF(B137=AO136,((2*B136)+(2*C136)),IF(B137=AO137,((2*B136)+(2*C136)),0)))*C138</f>
        <v>0</v>
      </c>
      <c r="AP138" s="260">
        <f>(IF(D137=AO136,((2*D136)+(2*E136)),IF(D137=AO137,((2*D136)+(2*E136)),0)))*C138</f>
        <v>0</v>
      </c>
      <c r="AQ138" s="111">
        <f>(IF(B137=AQ136,((2*B136)+(2*C136)),0))*C138</f>
        <v>0</v>
      </c>
      <c r="AR138" s="260">
        <f>(IF(D137=AQ136,((2*D136)+(2*E136)),0))*C138</f>
        <v>0</v>
      </c>
      <c r="AS138" s="72"/>
      <c r="AT138" s="268">
        <f>J136*C138</f>
        <v>0</v>
      </c>
      <c r="AV138" s="83" t="str">
        <f>'UC mounting materials '!$B$11</f>
        <v>Rail 41x41</v>
      </c>
      <c r="AW138" s="268">
        <f>IF(AA138&gt;999,(AA138+100),0)*C138</f>
        <v>0</v>
      </c>
      <c r="AY138" s="111" t="str">
        <f>IF(B137=informatieblad!$A$6,informatieblad!$B$6,IF(B137=informatieblad!$A$7,informatieblad!$B$7,IF(B137=informatieblad!$A$8,informatieblad!$B$8,IF(B137=informatieblad!$A$2,informatieblad!$B$2,IF(B137=informatieblad!$A$3,informatieblad!$B$3,IF(B137=informatieblad!$A$4,informatieblad!$B$4,IF(B137=informatieblad!$A$5,informatieblad!$B$5,"")))))))</f>
        <v/>
      </c>
      <c r="AZ138" s="275" t="str">
        <f>IF(D137=informatieblad!$A$6,informatieblad!$B$6,IF(D137=informatieblad!$A$7,informatieblad!$B$7,IF(D137=informatieblad!$A$8,informatieblad!$B$8,IF(D137=informatieblad!$A$2,informatieblad!$B$2,IF(D137=informatieblad!$A$3,informatieblad!$B$3,IF(D137=informatieblad!$A$4,informatieblad!$B$4,IF(D137=informatieblad!$A$5,informatieblad!$B$5,"")))))))</f>
        <v/>
      </c>
      <c r="BA138" s="276">
        <f>IF(AY138=BA136,(4*C138),0)</f>
        <v>0</v>
      </c>
      <c r="BB138" s="276">
        <f>IF(AZ138=BA136,(4*C138),0)</f>
        <v>0</v>
      </c>
      <c r="BC138" s="276">
        <f>IF(AY138=BC136,(4*C138),0)</f>
        <v>0</v>
      </c>
      <c r="BD138" s="274">
        <f>IF(AZ138=BC136,(4*C138),0)</f>
        <v>0</v>
      </c>
    </row>
    <row r="139" spans="1:56" ht="15.75" customHeight="1" thickBot="1">
      <c r="AK139" s="277" t="s">
        <v>66</v>
      </c>
      <c r="AL139" s="278">
        <f>SUM(AK22:AL22,AK26:AL26,AK30:AL30,AK34:AL34,AK38:AL38,AK42:AL42,AK46:AL46,AK50:AL50,AK54:AL54,AK58:AL58,AK62:AL62,AK66:AL66,AK70:AL70,AK74:AL74,AK78:AL78,AK82:AL82,AK86:AL86,AK90:AL90,AK94:AL94,AK98:AL98,AK102:AL102,AK106:AL106,AK110:AL110,AK114:AL114,AK118:AL118,AK122:AL122,AK126:AL126,AK130:AL130,AK134:AL134,AK138:AL138)</f>
        <v>0</v>
      </c>
      <c r="AM139" s="277" t="s">
        <v>67</v>
      </c>
      <c r="AN139" s="278">
        <f>SUM(AM22:AN22,AM26:AN26,AM30:AN30,AM34:AN34,AM38:AN38,AM42:AN42,AM46:AN46,AM50:AN50,AM54:AN54,AM58:AN58,AM62:AN62,AM66:AN66,AM70:AN70,AM74:AN74,AM78:AN78,AM82:AN82,AM86:AN86,AM90:AN90,AM94:AN94,AM98:AN98,AM102:AN102,AM106:AN106,AM110:AN110,AM114:AN114,AM118:AN118,AM122:AN122,AM126:AN126,AM130:AN130,AM134:AN134,AM138:AN138)</f>
        <v>0</v>
      </c>
      <c r="AO139" s="277" t="s">
        <v>68</v>
      </c>
      <c r="AP139" s="278">
        <f>SUM(AO22:AP22,AO26:AP26,AO30:AP30,AO34:AP34,AO38:AP38,AO42:AP42,AO46:AP46,AO50:AP50,AO54:AP54,AO58:AP58,AO62:AP62,AO66:AP66,AO70:AP70,AO74:AP74,AO78:AP78,AO82:AP82,AO86:AP86,AO90:AP90,AO94:AP94,AO98:AP98,AO102:AP102,AO106:AP106,AO110:AP110,AO114:AP114,AO118:AP118,AO122:AP122,AO126:AP126,AO130:AP130,AO134:AP134,AO138:AP138)</f>
        <v>0</v>
      </c>
      <c r="AQ139" s="277" t="s">
        <v>69</v>
      </c>
      <c r="AR139" s="278">
        <f>SUM(AQ22:AR22,AQ26:AR26,AQ30:AR30,AQ34:AR34,AQ38:AR38,AQ42:AR42,AQ46:AR46,AQ50:AR50,AQ54:AR54)</f>
        <v>0</v>
      </c>
      <c r="AT139" s="280">
        <f>SUM(AT22,AT26,AT30,AT34,AT38,AT42,AT46,AT50,AT54,AT58,AT62,AT66,AT70,AT74,AT78,AT82,AT86,AT90,AT94,AT98,AT102,AT106,AT110,AT114,AT118,AT122,AT126,AT130,AT134,AT138)</f>
        <v>0</v>
      </c>
      <c r="AW139" s="131"/>
      <c r="AY139" s="83"/>
      <c r="AZ139" s="83"/>
      <c r="BA139" s="277" t="s">
        <v>70</v>
      </c>
      <c r="BB139" s="278">
        <f>SUM(BA22:BB22,BA26:BB26,BA30:BB30,BA34:BB34,BA38:BB38,BA42:BB42,BA46:BB46,BA50:BB50,BA54:BB54,BA58:BB58,BA62:BB62,BA66:BB66,BA70:BB70,BA74:BB74,BA78:BB78,BA82:BB82,BA86:BB86,BA90:BB90,BA94:BB94,BA98:BB98,BA102:BB102,BA106:BB106,BA110:BB110,BA114:BB114,BA118:BB118,BA122:BB122,BA126:BB126,BA130:BB130,BA134:BB134,BA138:BB138)</f>
        <v>0</v>
      </c>
      <c r="BC139" s="277" t="s">
        <v>71</v>
      </c>
      <c r="BD139" s="278">
        <f>SUM(BC22:BD22,BC26:BD26,BC30:BD30,BC34:BD34,BC38:BD38,BC42:BD42,BC46:BD46,BC50:BD50,BC54:BD54,BC58:BD58,BC62:BD62,BC66:BD66,BC70:BD70,BC74:BD74,BC78:BD78,BC82:BD82,BC86:BD86,BC90:BD90,BC94:BD94,BC98:BD98,BC102:BD102,BC106:BD106,BC110:BD110,BC114:BD114,BC118:BD118,BC122:BD122,BC126:BD126,BC130:BD130,BC134:BD134,BC138:BD138)</f>
        <v>0</v>
      </c>
    </row>
    <row r="140" spans="1:56" ht="15" customHeight="1">
      <c r="AV140" s="284" t="str">
        <f>'UC mounting materials '!$B$10</f>
        <v>Rail 30x15</v>
      </c>
      <c r="AW140" s="285" t="str">
        <f>'UC mounting materials '!$B$11</f>
        <v>Rail 41x41</v>
      </c>
    </row>
    <row r="141" spans="1:56" ht="14.25" customHeight="1" thickBot="1">
      <c r="AV141" s="111">
        <f>SUM(AW21,AW25,AW29,AW33,AW37,AW41,AW45,AW49,AW53,AW57,AW61,AW65,AW69,AW73,AW77,AW81,AW85,AW89,AW93,AW97,AW101,AW105,AW109,AW113,AW117,AW121,AW125,AW129,AW133,AW137)</f>
        <v>0</v>
      </c>
      <c r="AW141" s="283">
        <f>SUM(AW22,AW26,AW30,AW34,AW38,AW42,AW46,AW50,AW54,AW58,AW62,AW66,AW70,AW74,AW78,AW82,AW86,AW90,AW94,AW98,AW102,AW106,AW110,AW114,AW118,AW122,AW126,AW130,AW134,AW138)</f>
        <v>0</v>
      </c>
    </row>
  </sheetData>
  <sheetProtection algorithmName="SHA-512" hashValue="rasNba8phu8sGGj6Xs85YkBoHlU9GtOkH9vQ3rB78gXwSqhF9k5KShZyrfKm5bQDt4FGLwn63wUne2NzvrPq3Q==" saltValue="JT2PSEVKWb+wyVodbNVSyQ==" spinCount="100000" sheet="1" objects="1" scenarios="1"/>
  <mergeCells count="155">
    <mergeCell ref="A136:A138"/>
    <mergeCell ref="B137:C137"/>
    <mergeCell ref="D137:E137"/>
    <mergeCell ref="H137:I137"/>
    <mergeCell ref="G138:J138"/>
    <mergeCell ref="A132:A134"/>
    <mergeCell ref="B133:C133"/>
    <mergeCell ref="D133:E133"/>
    <mergeCell ref="H133:I133"/>
    <mergeCell ref="G134:J134"/>
    <mergeCell ref="A128:A130"/>
    <mergeCell ref="B129:C129"/>
    <mergeCell ref="D129:E129"/>
    <mergeCell ref="H129:I129"/>
    <mergeCell ref="G130:J130"/>
    <mergeCell ref="A124:A126"/>
    <mergeCell ref="B125:C125"/>
    <mergeCell ref="D125:E125"/>
    <mergeCell ref="H125:I125"/>
    <mergeCell ref="G126:J126"/>
    <mergeCell ref="A120:A122"/>
    <mergeCell ref="B121:C121"/>
    <mergeCell ref="D121:E121"/>
    <mergeCell ref="H121:I121"/>
    <mergeCell ref="G122:J122"/>
    <mergeCell ref="A116:A118"/>
    <mergeCell ref="B117:C117"/>
    <mergeCell ref="D117:E117"/>
    <mergeCell ref="H117:I117"/>
    <mergeCell ref="G118:J118"/>
    <mergeCell ref="A112:A114"/>
    <mergeCell ref="B113:C113"/>
    <mergeCell ref="D113:E113"/>
    <mergeCell ref="H113:I113"/>
    <mergeCell ref="G114:J114"/>
    <mergeCell ref="A108:A110"/>
    <mergeCell ref="B109:C109"/>
    <mergeCell ref="D109:E109"/>
    <mergeCell ref="H109:I109"/>
    <mergeCell ref="G110:J110"/>
    <mergeCell ref="A104:A106"/>
    <mergeCell ref="B105:C105"/>
    <mergeCell ref="D105:E105"/>
    <mergeCell ref="H105:I105"/>
    <mergeCell ref="G106:J106"/>
    <mergeCell ref="A100:A102"/>
    <mergeCell ref="B101:C101"/>
    <mergeCell ref="D101:E101"/>
    <mergeCell ref="H101:I101"/>
    <mergeCell ref="G102:J102"/>
    <mergeCell ref="A96:A98"/>
    <mergeCell ref="B97:C97"/>
    <mergeCell ref="D97:E97"/>
    <mergeCell ref="H97:I97"/>
    <mergeCell ref="G98:J98"/>
    <mergeCell ref="A92:A94"/>
    <mergeCell ref="B93:C93"/>
    <mergeCell ref="D93:E93"/>
    <mergeCell ref="H93:I93"/>
    <mergeCell ref="G94:J94"/>
    <mergeCell ref="A88:A90"/>
    <mergeCell ref="B89:C89"/>
    <mergeCell ref="D89:E89"/>
    <mergeCell ref="H89:I89"/>
    <mergeCell ref="G90:J90"/>
    <mergeCell ref="A84:A86"/>
    <mergeCell ref="B85:C85"/>
    <mergeCell ref="D85:E85"/>
    <mergeCell ref="H85:I85"/>
    <mergeCell ref="G86:J86"/>
    <mergeCell ref="A80:A82"/>
    <mergeCell ref="B81:C81"/>
    <mergeCell ref="D81:E81"/>
    <mergeCell ref="H81:I81"/>
    <mergeCell ref="G82:J82"/>
    <mergeCell ref="A76:A78"/>
    <mergeCell ref="B77:C77"/>
    <mergeCell ref="D77:E77"/>
    <mergeCell ref="H77:I77"/>
    <mergeCell ref="G78:J78"/>
    <mergeCell ref="A72:A74"/>
    <mergeCell ref="B73:C73"/>
    <mergeCell ref="D73:E73"/>
    <mergeCell ref="H73:I73"/>
    <mergeCell ref="G74:J74"/>
    <mergeCell ref="A68:A70"/>
    <mergeCell ref="B69:C69"/>
    <mergeCell ref="D69:E69"/>
    <mergeCell ref="H69:I69"/>
    <mergeCell ref="G70:J70"/>
    <mergeCell ref="A64:A66"/>
    <mergeCell ref="B65:C65"/>
    <mergeCell ref="D65:E65"/>
    <mergeCell ref="H65:I65"/>
    <mergeCell ref="G66:J66"/>
    <mergeCell ref="A60:A62"/>
    <mergeCell ref="B61:C61"/>
    <mergeCell ref="D61:E61"/>
    <mergeCell ref="H61:I61"/>
    <mergeCell ref="G62:J62"/>
    <mergeCell ref="A56:A58"/>
    <mergeCell ref="B57:C57"/>
    <mergeCell ref="D57:E57"/>
    <mergeCell ref="H57:I57"/>
    <mergeCell ref="G58:J58"/>
    <mergeCell ref="A52:A54"/>
    <mergeCell ref="B53:C53"/>
    <mergeCell ref="D53:E53"/>
    <mergeCell ref="G54:J54"/>
    <mergeCell ref="D49:E49"/>
    <mergeCell ref="G50:J50"/>
    <mergeCell ref="A48:A50"/>
    <mergeCell ref="B49:C49"/>
    <mergeCell ref="H49:I49"/>
    <mergeCell ref="H53:I53"/>
    <mergeCell ref="A40:A42"/>
    <mergeCell ref="B41:C41"/>
    <mergeCell ref="D41:E41"/>
    <mergeCell ref="G42:J42"/>
    <mergeCell ref="A44:A46"/>
    <mergeCell ref="B45:C45"/>
    <mergeCell ref="D45:E45"/>
    <mergeCell ref="G46:J46"/>
    <mergeCell ref="H41:I41"/>
    <mergeCell ref="H45:I45"/>
    <mergeCell ref="A36:A38"/>
    <mergeCell ref="B37:C37"/>
    <mergeCell ref="D37:E37"/>
    <mergeCell ref="G38:J38"/>
    <mergeCell ref="H33:I33"/>
    <mergeCell ref="H37:I37"/>
    <mergeCell ref="A24:A26"/>
    <mergeCell ref="B25:C25"/>
    <mergeCell ref="D25:E25"/>
    <mergeCell ref="G26:J26"/>
    <mergeCell ref="A32:A34"/>
    <mergeCell ref="B33:C33"/>
    <mergeCell ref="D33:E33"/>
    <mergeCell ref="G34:J34"/>
    <mergeCell ref="A28:A30"/>
    <mergeCell ref="B29:C29"/>
    <mergeCell ref="D29:E29"/>
    <mergeCell ref="G30:J30"/>
    <mergeCell ref="H25:I25"/>
    <mergeCell ref="H29:I29"/>
    <mergeCell ref="B17:C17"/>
    <mergeCell ref="D17:E17"/>
    <mergeCell ref="G18:J18"/>
    <mergeCell ref="A16:A18"/>
    <mergeCell ref="A20:A22"/>
    <mergeCell ref="H21:I21"/>
    <mergeCell ref="H17:I17"/>
    <mergeCell ref="B21:C21"/>
    <mergeCell ref="D21:E21"/>
    <mergeCell ref="G22:J22"/>
  </mergeCells>
  <phoneticPr fontId="3" type="noConversion"/>
  <conditionalFormatting sqref="J16">
    <cfRule type="cellIs" dxfId="172" priority="55" operator="lessThan">
      <formula>$J$17</formula>
    </cfRule>
    <cfRule type="cellIs" dxfId="171" priority="56" operator="notEqual">
      <formula>$J$17</formula>
    </cfRule>
  </conditionalFormatting>
  <conditionalFormatting sqref="J20 J60 J104">
    <cfRule type="cellIs" dxfId="170" priority="35" operator="lessThan">
      <formula>$J21</formula>
    </cfRule>
    <cfRule type="cellIs" dxfId="169" priority="36" operator="notEqual">
      <formula>$J21</formula>
    </cfRule>
  </conditionalFormatting>
  <conditionalFormatting sqref="J24 J64 J108">
    <cfRule type="cellIs" dxfId="168" priority="15" operator="lessThan">
      <formula>$J25</formula>
    </cfRule>
    <cfRule type="cellIs" dxfId="167" priority="16" operator="notEqual">
      <formula>$J25</formula>
    </cfRule>
  </conditionalFormatting>
  <conditionalFormatting sqref="J28 J68 J112">
    <cfRule type="cellIs" dxfId="166" priority="13" operator="lessThan">
      <formula>$J29</formula>
    </cfRule>
    <cfRule type="cellIs" dxfId="165" priority="14" operator="notEqual">
      <formula>$J29</formula>
    </cfRule>
  </conditionalFormatting>
  <conditionalFormatting sqref="J32 J72 J116">
    <cfRule type="cellIs" dxfId="164" priority="11" operator="lessThan">
      <formula>$J33</formula>
    </cfRule>
    <cfRule type="cellIs" dxfId="163" priority="12" operator="notEqual">
      <formula>$J33</formula>
    </cfRule>
  </conditionalFormatting>
  <conditionalFormatting sqref="J36 J76 J120">
    <cfRule type="cellIs" dxfId="162" priority="9" operator="lessThan">
      <formula>$J37</formula>
    </cfRule>
    <cfRule type="cellIs" dxfId="161" priority="10" operator="notEqual">
      <formula>$J37</formula>
    </cfRule>
  </conditionalFormatting>
  <conditionalFormatting sqref="J40 J80 J124">
    <cfRule type="cellIs" dxfId="160" priority="7" operator="lessThan">
      <formula>$J41</formula>
    </cfRule>
    <cfRule type="cellIs" dxfId="159" priority="8" operator="notEqual">
      <formula>$J41</formula>
    </cfRule>
  </conditionalFormatting>
  <conditionalFormatting sqref="J44 J84 J128">
    <cfRule type="cellIs" dxfId="158" priority="5" operator="lessThan">
      <formula>$J45</formula>
    </cfRule>
    <cfRule type="cellIs" dxfId="157" priority="6" operator="notEqual">
      <formula>$J45</formula>
    </cfRule>
  </conditionalFormatting>
  <conditionalFormatting sqref="J48 J88 J132">
    <cfRule type="cellIs" dxfId="156" priority="3" operator="lessThan">
      <formula>$J49</formula>
    </cfRule>
    <cfRule type="cellIs" dxfId="155" priority="4" operator="notEqual">
      <formula>$J49</formula>
    </cfRule>
  </conditionalFormatting>
  <conditionalFormatting sqref="J52 J56 J92 J96 J100 J136">
    <cfRule type="cellIs" dxfId="154" priority="1" operator="lessThan">
      <formula>$J53</formula>
    </cfRule>
    <cfRule type="cellIs" dxfId="153" priority="2" operator="notEqual">
      <formula>$J53</formula>
    </cfRule>
  </conditionalFormatting>
  <dataValidations disablePrompts="1" count="2">
    <dataValidation type="list" allowBlank="1" showInputMessage="1" showErrorMessage="1" sqref="B21:E21 B25:E25 B29:E29 B33:E33 B37:E37 B41:E41 B45:E45 B49:E49 B53:E53 B57:E57 B61:E61 B65:E65 B69:E69 B73:E73 B77:E77 B81:E81 B85:E85 B89:E89 B93:E93 B97:E97 B101:E101 B105:E105 B109:E109 B113:E113 B117:E117 B121:E121 B125:E125 B129:E129 B133:E133 B137:E137" xr:uid="{8D31758F-5DD8-4CBD-B407-F890318B50EA}">
      <formula1>Options_flanges</formula1>
    </dataValidation>
    <dataValidation type="list" allowBlank="1" showInputMessage="1" showErrorMessage="1" sqref="G22:J22 G26:J26 G30:J30 G34:J34 G38:J38 G42:J42 G46:J46 G50:J50 G54:J54 G58:J58 G62:J62 G66:J66 G70:J70 G74:J74 G78:J78 G82:J82 G86:J86 G90:J90 G94:J94 G98:J98 G102:J102 G106:J106 G110:J110 G114:J114 G118:J118 G122:J122 G126:J126 G130:J130 G134:J134 G138:J138" xr:uid="{EC9D22AA-F0BB-4993-B5E3-37B2D96D0F66}">
      <formula1>Options_Ducts</formula1>
    </dataValidation>
  </dataValidations>
  <pageMargins left="0.25" right="0.25" top="0.75" bottom="0.75" header="0.3" footer="0.3"/>
  <pageSetup paperSize="9" orientation="portrait" r:id="rId1"/>
  <ignoredErrors>
    <ignoredError sqref="F20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366A-1CDA-4524-BC56-02FE9A0564BF}">
  <sheetPr codeName="Blad2">
    <tabColor rgb="FF00B0F0"/>
  </sheetPr>
  <dimension ref="A1:AV142"/>
  <sheetViews>
    <sheetView showGridLines="0" showZeros="0" view="pageBreakPreview" zoomScaleNormal="85" zoomScaleSheetLayoutView="100" workbookViewId="0">
      <pane xSplit="9" ySplit="16" topLeftCell="J17" activePane="bottomRight" state="frozen"/>
      <selection pane="bottomRight" activeCell="A21" sqref="A21:A23"/>
      <selection pane="bottomLeft" activeCell="A17" sqref="A17"/>
      <selection pane="topRight" activeCell="J1" sqref="J1"/>
    </sheetView>
  </sheetViews>
  <sheetFormatPr defaultColWidth="9.140625" defaultRowHeight="14.25"/>
  <cols>
    <col min="1" max="3" width="9.140625" style="64"/>
    <col min="4" max="4" width="11.28515625" style="64" bestFit="1" customWidth="1"/>
    <col min="5" max="5" width="9.140625" style="64"/>
    <col min="6" max="6" width="11.28515625" style="64" customWidth="1"/>
    <col min="7" max="8" width="10.7109375" style="64" customWidth="1"/>
    <col min="9" max="9" width="11.28515625" style="64" customWidth="1"/>
    <col min="10" max="10" width="50.7109375" style="64" customWidth="1"/>
    <col min="11" max="11" width="48.42578125" style="64" hidden="1" customWidth="1"/>
    <col min="12" max="12" width="0" style="83" hidden="1" customWidth="1"/>
    <col min="13" max="13" width="10.42578125" style="83" hidden="1" customWidth="1"/>
    <col min="14" max="14" width="19.140625" style="83" hidden="1" customWidth="1"/>
    <col min="15" max="15" width="10.42578125" style="83" hidden="1" customWidth="1"/>
    <col min="16" max="16" width="21" style="83" hidden="1" customWidth="1"/>
    <col min="17" max="17" width="24.85546875" style="83" hidden="1" customWidth="1"/>
    <col min="18" max="19" width="20.28515625" style="83" hidden="1" customWidth="1"/>
    <col min="20" max="20" width="9.5703125" style="83" hidden="1" customWidth="1"/>
    <col min="21" max="21" width="9.85546875" style="83" hidden="1" customWidth="1"/>
    <col min="22" max="24" width="15.28515625" style="64" hidden="1" customWidth="1"/>
    <col min="25" max="25" width="16" style="64" hidden="1" customWidth="1"/>
    <col min="26" max="26" width="19.140625" style="64" hidden="1" customWidth="1"/>
    <col min="27" max="28" width="12.85546875" style="83" hidden="1" customWidth="1"/>
    <col min="29" max="29" width="9.85546875" style="83" hidden="1" customWidth="1"/>
    <col min="30" max="30" width="9.42578125" style="83" hidden="1" customWidth="1"/>
    <col min="31" max="31" width="0" style="64" hidden="1" customWidth="1"/>
    <col min="32" max="32" width="14.28515625" style="64" hidden="1" customWidth="1"/>
    <col min="33" max="33" width="0" style="64" hidden="1" customWidth="1"/>
    <col min="34" max="34" width="14.28515625" style="64" hidden="1" customWidth="1"/>
    <col min="35" max="35" width="0" style="64" hidden="1" customWidth="1"/>
    <col min="36" max="36" width="14.28515625" style="64" hidden="1" customWidth="1"/>
    <col min="37" max="37" width="0" style="64" hidden="1" customWidth="1"/>
    <col min="38" max="38" width="13.140625" style="64" hidden="1" customWidth="1"/>
    <col min="39" max="39" width="0" style="64" hidden="1" customWidth="1"/>
    <col min="40" max="41" width="12.5703125" style="64" hidden="1" customWidth="1"/>
    <col min="42" max="44" width="0" style="64" hidden="1" customWidth="1"/>
    <col min="45" max="45" width="11" style="64" hidden="1" customWidth="1"/>
    <col min="46" max="46" width="0" style="64" hidden="1" customWidth="1"/>
    <col min="47" max="47" width="12.5703125" style="64" hidden="1" customWidth="1"/>
    <col min="48" max="48" width="0" style="64" hidden="1" customWidth="1"/>
    <col min="49" max="16384" width="9.140625" style="64"/>
  </cols>
  <sheetData>
    <row r="1" spans="1:17">
      <c r="A1" s="61"/>
      <c r="B1" s="62"/>
      <c r="C1" s="62"/>
      <c r="D1" s="62"/>
      <c r="E1" s="62"/>
      <c r="F1" s="62"/>
      <c r="G1" s="62"/>
      <c r="H1" s="62"/>
      <c r="I1" s="63"/>
      <c r="L1" s="65" t="str">
        <f>informatieblad!F12&amp;" "&amp;informatieblad!D14</f>
        <v>Total aantal of Bochten  (RctB)</v>
      </c>
      <c r="M1" s="62"/>
      <c r="N1" s="62"/>
      <c r="O1" s="62"/>
      <c r="P1" s="62"/>
      <c r="Q1" s="66">
        <f>C23+C27+C31+C35+C39+C43+C47+C51+C55+C59+C63+C67+C71+C75+C79+C83+C87+C91+C95+C99+C103+C107+C111+C115+C119+C123+C127+C131+C135+C137</f>
        <v>0</v>
      </c>
    </row>
    <row r="2" spans="1:17">
      <c r="A2" s="67"/>
      <c r="I2" s="68"/>
      <c r="L2" s="69" t="str">
        <f>informatieblad!F13</f>
        <v>Total purchase price</v>
      </c>
      <c r="M2" s="64"/>
      <c r="N2" s="64"/>
      <c r="O2" s="64"/>
      <c r="P2" s="64"/>
      <c r="Q2" s="343">
        <f>Q23+Q27+Q31+Q35+Q39+Q43+Q47+Q51+Q55+Q59+Q63+Q67+Q71+Q75+Q79+Q83+Q87+Q91+Q95+Q99+Q103+Q107+Q111+Q115+Q119+Q123+Q127+Q131+Q135+Q139</f>
        <v>0</v>
      </c>
    </row>
    <row r="3" spans="1:17" ht="15" thickBot="1">
      <c r="A3" s="67"/>
      <c r="I3" s="68"/>
      <c r="L3" s="71" t="str">
        <f>informatieblad!F14</f>
        <v>Total sales price</v>
      </c>
      <c r="M3" s="72"/>
      <c r="N3" s="72"/>
      <c r="O3" s="72"/>
      <c r="P3" s="72"/>
      <c r="Q3" s="238">
        <f>R23+R27+R31+R35+R39+R43+R47+R51+R55+R59+R63+R67+R71+R75+R79+R83+R87+R91+R95+R99+R103+R107+R111+R115+R119+R123+R127+R131+R135+R139</f>
        <v>0</v>
      </c>
    </row>
    <row r="4" spans="1:17">
      <c r="A4" s="67"/>
      <c r="I4" s="433" t="str">
        <f>informatieblad!D14</f>
        <v>Bochten  (RctB)</v>
      </c>
    </row>
    <row r="5" spans="1:17">
      <c r="A5" s="67"/>
      <c r="I5" s="68"/>
    </row>
    <row r="6" spans="1:17">
      <c r="A6" s="67"/>
      <c r="G6" s="133"/>
      <c r="I6" s="68"/>
    </row>
    <row r="7" spans="1:17">
      <c r="A7" s="67"/>
      <c r="I7" s="68"/>
    </row>
    <row r="8" spans="1:17">
      <c r="A8" s="67"/>
      <c r="I8" s="68"/>
    </row>
    <row r="9" spans="1:17">
      <c r="A9" s="67"/>
      <c r="I9" s="68"/>
      <c r="L9" s="164"/>
      <c r="M9" s="164"/>
      <c r="N9" s="164"/>
    </row>
    <row r="10" spans="1:17">
      <c r="A10" s="67"/>
      <c r="G10" s="64" t="s">
        <v>97</v>
      </c>
      <c r="I10" s="165">
        <v>120</v>
      </c>
      <c r="J10" s="166"/>
      <c r="K10" s="166"/>
    </row>
    <row r="11" spans="1:17">
      <c r="A11" s="67"/>
      <c r="G11" s="64" t="s">
        <v>98</v>
      </c>
      <c r="I11" s="165">
        <v>30</v>
      </c>
      <c r="J11" s="166"/>
      <c r="K11" s="166"/>
    </row>
    <row r="12" spans="1:17">
      <c r="A12" s="67"/>
      <c r="G12" s="64" t="s">
        <v>99</v>
      </c>
      <c r="I12" s="165">
        <v>30</v>
      </c>
      <c r="J12" s="166"/>
      <c r="K12" s="166"/>
    </row>
    <row r="13" spans="1:17">
      <c r="A13" s="67"/>
      <c r="I13" s="68"/>
    </row>
    <row r="14" spans="1:17" ht="15" thickBot="1">
      <c r="A14" s="76"/>
      <c r="B14" s="72"/>
      <c r="C14" s="72"/>
      <c r="D14" s="72"/>
      <c r="E14" s="72"/>
      <c r="F14" s="72"/>
      <c r="G14" s="72"/>
      <c r="H14" s="72"/>
      <c r="I14" s="77"/>
    </row>
    <row r="15" spans="1:17" ht="5.0999999999999996" customHeight="1" thickBot="1">
      <c r="A15" s="67"/>
      <c r="I15" s="68"/>
    </row>
    <row r="16" spans="1:17" ht="15" thickBot="1">
      <c r="A16" s="78" t="s">
        <v>14</v>
      </c>
      <c r="B16" s="79" t="s">
        <v>72</v>
      </c>
      <c r="C16" s="79" t="s">
        <v>73</v>
      </c>
      <c r="D16" s="79" t="s">
        <v>74</v>
      </c>
      <c r="E16" s="79" t="s">
        <v>75</v>
      </c>
      <c r="F16" s="80" t="s">
        <v>100</v>
      </c>
      <c r="G16" s="79" t="s">
        <v>101</v>
      </c>
      <c r="H16" s="79" t="s">
        <v>102</v>
      </c>
      <c r="I16" s="125" t="s">
        <v>103</v>
      </c>
      <c r="J16" s="280" t="s">
        <v>18</v>
      </c>
      <c r="K16" s="83"/>
    </row>
    <row r="17" spans="1:48" ht="15" thickBot="1">
      <c r="A17" s="464" t="s">
        <v>19</v>
      </c>
      <c r="B17" s="84">
        <v>500</v>
      </c>
      <c r="C17" s="84">
        <v>300</v>
      </c>
      <c r="D17" s="84">
        <v>700</v>
      </c>
      <c r="E17" s="167">
        <v>300</v>
      </c>
      <c r="F17" s="127">
        <v>120</v>
      </c>
      <c r="G17" s="127">
        <v>30</v>
      </c>
      <c r="H17" s="127">
        <v>30</v>
      </c>
      <c r="I17" s="168">
        <v>90</v>
      </c>
      <c r="J17" s="345" t="s">
        <v>20</v>
      </c>
      <c r="K17" s="169"/>
      <c r="L17" s="170"/>
      <c r="M17" s="171"/>
      <c r="N17" s="171"/>
      <c r="O17" s="172"/>
      <c r="P17" s="172"/>
      <c r="Q17" s="172"/>
      <c r="R17" s="64"/>
      <c r="S17" s="64"/>
      <c r="T17" s="64"/>
      <c r="U17" s="64"/>
    </row>
    <row r="18" spans="1:48" ht="15">
      <c r="A18" s="465"/>
      <c r="B18" s="460" t="s">
        <v>80</v>
      </c>
      <c r="C18" s="478"/>
      <c r="D18" s="460" t="s">
        <v>80</v>
      </c>
      <c r="E18" s="478"/>
      <c r="F18" s="173" t="s">
        <v>104</v>
      </c>
      <c r="G18" s="174"/>
      <c r="H18" s="174"/>
      <c r="I18" s="175"/>
      <c r="J18" s="83"/>
      <c r="K18" s="83"/>
    </row>
    <row r="19" spans="1:48" ht="15.75" thickBot="1">
      <c r="A19" s="477"/>
      <c r="B19" s="92" t="s">
        <v>23</v>
      </c>
      <c r="C19" s="93">
        <v>1</v>
      </c>
      <c r="D19" s="94">
        <v>2.7</v>
      </c>
      <c r="E19" s="141" t="s">
        <v>24</v>
      </c>
      <c r="F19" s="457" t="s">
        <v>25</v>
      </c>
      <c r="G19" s="458"/>
      <c r="H19" s="458"/>
      <c r="I19" s="459"/>
      <c r="J19" s="176"/>
      <c r="K19" s="176"/>
    </row>
    <row r="20" spans="1:48" ht="5.0999999999999996" customHeight="1" thickBot="1">
      <c r="A20" s="145"/>
      <c r="B20" s="122"/>
      <c r="C20" s="122"/>
      <c r="D20" s="122"/>
      <c r="E20" s="122"/>
      <c r="F20" s="122"/>
      <c r="G20" s="122"/>
      <c r="H20" s="122"/>
      <c r="I20" s="146"/>
    </row>
    <row r="21" spans="1:48" ht="14.25" customHeight="1" thickBot="1">
      <c r="A21" s="445"/>
      <c r="B21" s="96"/>
      <c r="C21" s="96"/>
      <c r="D21" s="96"/>
      <c r="E21" s="167">
        <f>C21</f>
        <v>0</v>
      </c>
      <c r="F21" s="177">
        <f>(B21&gt;0)*$I$10</f>
        <v>0</v>
      </c>
      <c r="G21" s="177">
        <f>(B21&gt;0)*$I$11</f>
        <v>0</v>
      </c>
      <c r="H21" s="177">
        <f>(B21&gt;0)*$I$12</f>
        <v>0</v>
      </c>
      <c r="I21" s="178"/>
      <c r="J21" s="345" t="s">
        <v>20</v>
      </c>
      <c r="K21" s="83"/>
      <c r="L21" s="97" t="s">
        <v>14</v>
      </c>
      <c r="M21" s="98" t="s">
        <v>27</v>
      </c>
      <c r="N21" s="98" t="s">
        <v>28</v>
      </c>
      <c r="O21" s="98" t="s">
        <v>27</v>
      </c>
      <c r="P21" s="98" t="s">
        <v>28</v>
      </c>
      <c r="Q21" s="98" t="s">
        <v>29</v>
      </c>
      <c r="R21" s="66" t="s">
        <v>30</v>
      </c>
      <c r="S21" s="153" t="s">
        <v>31</v>
      </c>
      <c r="T21" s="153"/>
      <c r="U21" s="153"/>
      <c r="V21" s="154" t="s">
        <v>83</v>
      </c>
      <c r="W21" s="100" t="s">
        <v>83</v>
      </c>
      <c r="X21" s="100" t="s">
        <v>83</v>
      </c>
      <c r="Y21" s="100" t="s">
        <v>33</v>
      </c>
      <c r="Z21" s="100" t="s">
        <v>34</v>
      </c>
      <c r="AA21" s="98" t="s">
        <v>32</v>
      </c>
      <c r="AB21" s="98" t="s">
        <v>32</v>
      </c>
      <c r="AC21" s="98" t="s">
        <v>35</v>
      </c>
      <c r="AD21" s="101" t="s">
        <v>36</v>
      </c>
      <c r="AF21" s="97" t="str">
        <f>informatieblad!$A$6</f>
        <v>FL20</v>
      </c>
      <c r="AG21" s="99"/>
      <c r="AH21" s="97" t="str">
        <f>informatieblad!$A$7</f>
        <v>FL30</v>
      </c>
      <c r="AI21" s="66"/>
      <c r="AJ21" s="99" t="str">
        <f>informatieblad!$A$8</f>
        <v>FL40</v>
      </c>
      <c r="AK21" s="66"/>
      <c r="AL21" s="97" t="str">
        <f>informatieblad!$A$5</f>
        <v>none</v>
      </c>
      <c r="AM21" s="264"/>
      <c r="AO21" s="266" t="s">
        <v>37</v>
      </c>
      <c r="AQ21" s="269" t="s">
        <v>38</v>
      </c>
      <c r="AR21" s="272"/>
      <c r="AS21" s="272">
        <f>informatieblad!$B$3</f>
        <v>0</v>
      </c>
      <c r="AT21" s="272">
        <f>informatieblad!$B$3</f>
        <v>0</v>
      </c>
      <c r="AU21" s="272">
        <f>informatieblad!$B$4</f>
        <v>0</v>
      </c>
      <c r="AV21" s="264">
        <f>informatieblad!$B$4</f>
        <v>0</v>
      </c>
    </row>
    <row r="22" spans="1:48" ht="15" customHeight="1">
      <c r="A22" s="475"/>
      <c r="B22" s="479" t="str">
        <f>IF($C23&gt;0,IF(MAX(B21:C21)&lt;informatieblad!$Q$4,informatieblad!$P$3,IF(MAX(B21:C21)&gt;informatieblad!$R$4,informatieblad!$P$5,informatieblad!$P$4)),"")</f>
        <v/>
      </c>
      <c r="C22" s="480"/>
      <c r="D22" s="479" t="str">
        <f>IF($C23&gt;0,IF(MAX(D21:E21)&lt;informatieblad!$Q$4,informatieblad!$P$3,IF(MAX(D21:E21)&gt;informatieblad!$R$4,informatieblad!$P$5,informatieblad!$P$4)),"")</f>
        <v/>
      </c>
      <c r="E22" s="480"/>
      <c r="F22" s="173" t="str">
        <f>A21&amp;"-"&amp;informatieblad!$B$14&amp;"-"&amp;B21&amp;"-"&amp;C21&amp;"-"&amp;D21&amp;"-"&amp;E21&amp;"-"&amp;F21&amp;"-"&amp;G21&amp;"-"&amp;H21&amp;"-"&amp;I21&amp;"-"&amp;B22&amp;"-"&amp;D22&amp;"-"&amp;F23</f>
        <v>-RctB----0-0-0-0----Options None</v>
      </c>
      <c r="G22" s="174"/>
      <c r="H22" s="179"/>
      <c r="I22" s="175"/>
      <c r="J22" s="83"/>
      <c r="K22" s="83"/>
      <c r="L22" s="103">
        <f>A21</f>
        <v>0</v>
      </c>
      <c r="M22" s="104" t="s">
        <v>39</v>
      </c>
      <c r="N22" s="104" t="s">
        <v>39</v>
      </c>
      <c r="O22" s="104" t="s">
        <v>40</v>
      </c>
      <c r="P22" s="104" t="s">
        <v>40</v>
      </c>
      <c r="Q22" s="104" t="s">
        <v>40</v>
      </c>
      <c r="R22" s="105"/>
      <c r="S22" s="155" t="s">
        <v>27</v>
      </c>
      <c r="T22" s="155" t="s">
        <v>40</v>
      </c>
      <c r="U22" s="155" t="s">
        <v>41</v>
      </c>
      <c r="V22" s="156" t="s">
        <v>105</v>
      </c>
      <c r="W22" s="104" t="s">
        <v>106</v>
      </c>
      <c r="X22" s="107" t="s">
        <v>87</v>
      </c>
      <c r="Y22" s="107"/>
      <c r="Z22" s="107"/>
      <c r="AA22" s="104" t="s">
        <v>40</v>
      </c>
      <c r="AB22" s="104" t="s">
        <v>41</v>
      </c>
      <c r="AC22" s="108"/>
      <c r="AD22" s="109"/>
      <c r="AF22" s="262" t="str">
        <f>informatieblad!$A$2</f>
        <v>FL20 loose</v>
      </c>
      <c r="AG22" s="263"/>
      <c r="AH22" s="262" t="str">
        <f>informatieblad!$A$3</f>
        <v>FL30 loose</v>
      </c>
      <c r="AI22" s="105"/>
      <c r="AJ22" s="263" t="str">
        <f>informatieblad!$A$4</f>
        <v>FL40 loose</v>
      </c>
      <c r="AK22" s="105"/>
      <c r="AL22" s="265"/>
      <c r="AM22" s="105"/>
      <c r="AN22" s="83" t="str">
        <f>'UC mounting materials '!$B$10</f>
        <v>Rail 30x15</v>
      </c>
      <c r="AO22" s="327">
        <f>IF(Y23&lt;1000,(Y23+100),0)*C23</f>
        <v>0</v>
      </c>
      <c r="AQ22" s="265" t="s">
        <v>47</v>
      </c>
      <c r="AR22" s="106" t="s">
        <v>48</v>
      </c>
      <c r="AS22" s="83" t="s">
        <v>23</v>
      </c>
      <c r="AT22" s="83" t="s">
        <v>23</v>
      </c>
      <c r="AU22" s="83" t="s">
        <v>23</v>
      </c>
      <c r="AV22" s="273" t="s">
        <v>23</v>
      </c>
    </row>
    <row r="23" spans="1:48" ht="15.75" customHeight="1" thickBot="1">
      <c r="A23" s="447"/>
      <c r="B23" s="92" t="s">
        <v>23</v>
      </c>
      <c r="C23" s="110"/>
      <c r="D23" s="94">
        <f>C23*N23</f>
        <v>0</v>
      </c>
      <c r="E23" s="141" t="s">
        <v>24</v>
      </c>
      <c r="F23" s="451" t="s">
        <v>25</v>
      </c>
      <c r="G23" s="452"/>
      <c r="H23" s="452"/>
      <c r="I23" s="453"/>
      <c r="J23" s="176"/>
      <c r="K23" s="176"/>
      <c r="L23" s="111"/>
      <c r="M23" s="112">
        <f>(((((2*(B21+C21))*(D21+G21+F21))+((2*(D21+E21))*(B21+H21+F21)))/90)*I21)/1000000</f>
        <v>0</v>
      </c>
      <c r="N23" s="112">
        <f>((IF(M23&lt;=informatieblad!$I$14,informatieblad!$I$14,IF(M23&gt;=informatieblad!$I$14,M23))))</f>
        <v>0.5</v>
      </c>
      <c r="O23" s="158">
        <f>(ROUND((((2*(X23+C21))*(((2*PI()*(X23+F21))*(I21/360))+H21+G21))/1000000),2))</f>
        <v>0</v>
      </c>
      <c r="P23" s="158">
        <f>((IF(O23&lt;=informatieblad!$H$14,informatieblad!$H$14,IF(O23&gt;=informatieblad!$H$14,O23))))</f>
        <v>0</v>
      </c>
      <c r="Q23" s="113">
        <f>((P23*AA23)+(P23*T23))*C23</f>
        <v>0</v>
      </c>
      <c r="R23" s="114">
        <f>((N23*AB23)+(N23*U23))*C23</f>
        <v>0</v>
      </c>
      <c r="S23" s="115" t="str">
        <f>F23</f>
        <v>Options None</v>
      </c>
      <c r="T23" s="115">
        <f>VLOOKUP(F23,informatieblad!$A$37:$D$41,2,FALSE)</f>
        <v>0</v>
      </c>
      <c r="U23" s="115">
        <f>VLOOKUP(F23,informatieblad!$A$37:$D$41,4,FALSE)</f>
        <v>0</v>
      </c>
      <c r="V23" s="180">
        <f>(MAX(B21,C21))</f>
        <v>0</v>
      </c>
      <c r="W23" s="119">
        <f>(MAX(D21,E21))</f>
        <v>0</v>
      </c>
      <c r="X23" s="119">
        <f>(MAX(B21,D21))</f>
        <v>0</v>
      </c>
      <c r="Y23" s="119">
        <f>(MAX(B21:E21))</f>
        <v>0</v>
      </c>
      <c r="Z23" s="119">
        <f>LOOKUP(Y23,informatieblad!$C$27:$C$32,informatieblad!$A$27:$A$32)</f>
        <v>0.5</v>
      </c>
      <c r="AA23" s="118">
        <f>VLOOKUP(Z23,informatieblad!$A$27:$M$32,6,FALSE)</f>
        <v>0</v>
      </c>
      <c r="AB23" s="118">
        <f>VLOOKUP(Z23,informatieblad!$A$27:$M$32,8,FALSE)</f>
        <v>45.1248</v>
      </c>
      <c r="AC23" s="120">
        <f>VLOOKUP(Z23,informatieblad!$A$27:$M$32,13,FALSE)</f>
        <v>4</v>
      </c>
      <c r="AD23" s="121">
        <f>ROUND((AC23*M23),1)</f>
        <v>0</v>
      </c>
      <c r="AF23" s="281">
        <f>IF(B22=AF21,(2*B21)+(2*C21),IF(B22=AF22,(2*B21)+(2*C21),0))*C23</f>
        <v>0</v>
      </c>
      <c r="AG23" s="261">
        <f>IF(D22=AF21,(2*D21)+(2*E21),IF(D22=AF22,(2*D21)+(2*E21),0))*C23</f>
        <v>0</v>
      </c>
      <c r="AH23" s="111">
        <f>IF(B22=AH21,(2*B21)+(2*C21),IF(B22=AH22,(2*B21)+(2*C21),0))*C23</f>
        <v>0</v>
      </c>
      <c r="AI23" s="260">
        <f>IF(D22=AH21,(2*D21)+(2*E21),IF(D22=AH22,(2*D21)+(2*E21),0))*C23</f>
        <v>0</v>
      </c>
      <c r="AJ23" s="261">
        <f>IF(B22=AJ21,(2*B21)+(2*C21),IF(B22=AJ22,(2*B21)+(2*C21),0))*C23</f>
        <v>0</v>
      </c>
      <c r="AK23" s="260">
        <f>IF(D22=AJ21,(2*D21)+(2*E21),IF(D22=AJ22,(2*D21)+(2*E21),0))*C23</f>
        <v>0</v>
      </c>
      <c r="AL23" s="111">
        <f>IF(B22=AL21,(2*B21)+(2*C21),0)*C23</f>
        <v>0</v>
      </c>
      <c r="AM23" s="260">
        <f>IF(D22=AL21,(2*D21)+(2*E21),0)*C23</f>
        <v>0</v>
      </c>
      <c r="AN23" s="83" t="str">
        <f>'UC mounting materials '!$B$11</f>
        <v>Rail 41x41</v>
      </c>
      <c r="AO23" s="268">
        <f>IF(Y23&gt;999,(Y23+100),0)*C23</f>
        <v>0</v>
      </c>
      <c r="AQ23" s="111" t="str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/>
      </c>
      <c r="AR23" s="275" t="str">
        <f>IF(D22=informatieblad!$A$6,informatieblad!$B$6,IF(D22=informatieblad!$A$7,informatieblad!$B$7,IF(D22=informatieblad!$A$8,informatieblad!$B$8,IF(D22=informatieblad!$A$2,informatieblad!$B$2,IF(D22=informatieblad!$A$3,informatieblad!$B$3,IF(D22=informatieblad!$A$4,informatieblad!$B$4,IF(D22=informatieblad!$A$5,informatieblad!$B$5,"")))))))</f>
        <v/>
      </c>
      <c r="AS23" s="276">
        <f>IF(AQ23=AS21,(4*C23),0)</f>
        <v>0</v>
      </c>
      <c r="AT23" s="276">
        <f>IF(AR23=AS21,(4*C23),0)</f>
        <v>0</v>
      </c>
      <c r="AU23" s="276">
        <f>IF(AQ23=AU21,(4*C23),0)</f>
        <v>0</v>
      </c>
      <c r="AV23" s="274">
        <f>IF(AR23=AU21,(4*C23),0)</f>
        <v>0</v>
      </c>
    </row>
    <row r="24" spans="1:48" ht="5.0999999999999996" customHeight="1" thickBot="1">
      <c r="A24" s="145"/>
      <c r="B24" s="122"/>
      <c r="C24" s="122"/>
      <c r="D24" s="122"/>
      <c r="E24" s="122"/>
      <c r="F24" s="122"/>
      <c r="G24" s="122"/>
      <c r="H24" s="122"/>
      <c r="I24" s="146"/>
      <c r="R24" s="144"/>
      <c r="S24" s="144"/>
      <c r="T24" s="144"/>
      <c r="U24" s="144"/>
    </row>
    <row r="25" spans="1:48" ht="15" thickBot="1">
      <c r="A25" s="445"/>
      <c r="B25" s="96"/>
      <c r="C25" s="96"/>
      <c r="D25" s="96"/>
      <c r="E25" s="167">
        <f>C25</f>
        <v>0</v>
      </c>
      <c r="F25" s="177">
        <f>(B25&gt;0)*$I$10</f>
        <v>0</v>
      </c>
      <c r="G25" s="177">
        <f>(B25&gt;0)*$I$11</f>
        <v>0</v>
      </c>
      <c r="H25" s="177">
        <f>(B25&gt;0)*$I$12</f>
        <v>0</v>
      </c>
      <c r="I25" s="178"/>
      <c r="J25" s="345" t="s">
        <v>20</v>
      </c>
      <c r="K25" s="83"/>
      <c r="L25" s="97" t="s">
        <v>14</v>
      </c>
      <c r="M25" s="98" t="s">
        <v>27</v>
      </c>
      <c r="N25" s="98" t="s">
        <v>28</v>
      </c>
      <c r="O25" s="98" t="s">
        <v>27</v>
      </c>
      <c r="P25" s="98" t="s">
        <v>28</v>
      </c>
      <c r="Q25" s="98" t="s">
        <v>29</v>
      </c>
      <c r="R25" s="66" t="s">
        <v>30</v>
      </c>
      <c r="S25" s="153" t="s">
        <v>31</v>
      </c>
      <c r="T25" s="153"/>
      <c r="U25" s="153"/>
      <c r="V25" s="154" t="s">
        <v>83</v>
      </c>
      <c r="W25" s="100" t="s">
        <v>83</v>
      </c>
      <c r="X25" s="100" t="s">
        <v>83</v>
      </c>
      <c r="Y25" s="100" t="s">
        <v>33</v>
      </c>
      <c r="Z25" s="100" t="s">
        <v>34</v>
      </c>
      <c r="AA25" s="98" t="s">
        <v>32</v>
      </c>
      <c r="AB25" s="98" t="s">
        <v>32</v>
      </c>
      <c r="AC25" s="98" t="s">
        <v>35</v>
      </c>
      <c r="AD25" s="101" t="s">
        <v>36</v>
      </c>
      <c r="AF25" s="97" t="str">
        <f>informatieblad!$A$6</f>
        <v>FL20</v>
      </c>
      <c r="AG25" s="99"/>
      <c r="AH25" s="97" t="str">
        <f>informatieblad!$A$7</f>
        <v>FL30</v>
      </c>
      <c r="AI25" s="66"/>
      <c r="AJ25" s="99" t="str">
        <f>informatieblad!$A$8</f>
        <v>FL40</v>
      </c>
      <c r="AK25" s="66"/>
      <c r="AL25" s="97" t="str">
        <f>informatieblad!$A$5</f>
        <v>none</v>
      </c>
      <c r="AM25" s="264"/>
      <c r="AO25" s="266" t="s">
        <v>37</v>
      </c>
      <c r="AQ25" s="269" t="s">
        <v>38</v>
      </c>
      <c r="AR25" s="272"/>
      <c r="AS25" s="272">
        <f>informatieblad!$B$3</f>
        <v>0</v>
      </c>
      <c r="AT25" s="272">
        <f>informatieblad!$B$3</f>
        <v>0</v>
      </c>
      <c r="AU25" s="272">
        <f>informatieblad!$B$4</f>
        <v>0</v>
      </c>
      <c r="AV25" s="264">
        <f>informatieblad!$B$4</f>
        <v>0</v>
      </c>
    </row>
    <row r="26" spans="1:48" ht="15">
      <c r="A26" s="475"/>
      <c r="B26" s="479" t="str">
        <f>IF($C27&gt;0,IF(MAX(B25:C25)&lt;informatieblad!$Q$4,informatieblad!$P$3,IF(MAX(B25:C25)&gt;informatieblad!$R$4,informatieblad!$P$5,informatieblad!$P$4)),"")</f>
        <v/>
      </c>
      <c r="C26" s="480"/>
      <c r="D26" s="479" t="str">
        <f>IF($C27&gt;0,IF(MAX(D25:E25)&lt;informatieblad!$Q$4,informatieblad!$P$3,IF(MAX(D25:E25)&gt;informatieblad!$R$4,informatieblad!$P$5,informatieblad!$P$4)),"")</f>
        <v/>
      </c>
      <c r="E26" s="480"/>
      <c r="F26" s="173" t="str">
        <f>A25&amp;"-"&amp;informatieblad!$B$14&amp;"-"&amp;B25&amp;"-"&amp;C25&amp;"-"&amp;D25&amp;"-"&amp;E25&amp;"-"&amp;F25&amp;"-"&amp;G25&amp;"-"&amp;H25&amp;"-"&amp;I25&amp;"-"&amp;B26&amp;"-"&amp;D26&amp;"-"&amp;F27</f>
        <v>-RctB----0-0-0-0----Options None</v>
      </c>
      <c r="G26" s="174"/>
      <c r="H26" s="179"/>
      <c r="I26" s="175"/>
      <c r="J26" s="83"/>
      <c r="K26" s="83"/>
      <c r="L26" s="103">
        <f>A25</f>
        <v>0</v>
      </c>
      <c r="M26" s="104" t="s">
        <v>39</v>
      </c>
      <c r="N26" s="104" t="s">
        <v>39</v>
      </c>
      <c r="O26" s="104" t="s">
        <v>40</v>
      </c>
      <c r="P26" s="104" t="s">
        <v>40</v>
      </c>
      <c r="Q26" s="104" t="s">
        <v>40</v>
      </c>
      <c r="R26" s="105"/>
      <c r="S26" s="155" t="s">
        <v>27</v>
      </c>
      <c r="T26" s="155" t="s">
        <v>40</v>
      </c>
      <c r="U26" s="155" t="s">
        <v>41</v>
      </c>
      <c r="V26" s="156" t="s">
        <v>105</v>
      </c>
      <c r="W26" s="104" t="s">
        <v>106</v>
      </c>
      <c r="X26" s="107" t="s">
        <v>87</v>
      </c>
      <c r="Y26" s="107"/>
      <c r="Z26" s="107"/>
      <c r="AA26" s="104" t="s">
        <v>40</v>
      </c>
      <c r="AB26" s="104" t="s">
        <v>41</v>
      </c>
      <c r="AC26" s="108"/>
      <c r="AD26" s="109"/>
      <c r="AF26" s="262" t="str">
        <f>informatieblad!$A$2</f>
        <v>FL20 loose</v>
      </c>
      <c r="AG26" s="263"/>
      <c r="AH26" s="262" t="str">
        <f>informatieblad!$A$3</f>
        <v>FL30 loose</v>
      </c>
      <c r="AI26" s="105"/>
      <c r="AJ26" s="263" t="str">
        <f>informatieblad!$A$4</f>
        <v>FL40 loose</v>
      </c>
      <c r="AK26" s="105"/>
      <c r="AL26" s="265"/>
      <c r="AM26" s="105"/>
      <c r="AN26" s="83" t="str">
        <f>'UC mounting materials '!$B$10</f>
        <v>Rail 30x15</v>
      </c>
      <c r="AO26" s="327">
        <f>IF(Y27&lt;1000,(Y27+100),0)*C27</f>
        <v>0</v>
      </c>
      <c r="AQ26" s="265" t="s">
        <v>47</v>
      </c>
      <c r="AR26" s="106" t="s">
        <v>48</v>
      </c>
      <c r="AS26" s="83" t="s">
        <v>23</v>
      </c>
      <c r="AT26" s="83" t="s">
        <v>23</v>
      </c>
      <c r="AU26" s="83" t="s">
        <v>23</v>
      </c>
      <c r="AV26" s="273" t="s">
        <v>23</v>
      </c>
    </row>
    <row r="27" spans="1:48" ht="15.75" thickBot="1">
      <c r="A27" s="447"/>
      <c r="B27" s="92" t="s">
        <v>23</v>
      </c>
      <c r="C27" s="110"/>
      <c r="D27" s="94">
        <f>C27*N27</f>
        <v>0</v>
      </c>
      <c r="E27" s="141" t="s">
        <v>24</v>
      </c>
      <c r="F27" s="451" t="s">
        <v>25</v>
      </c>
      <c r="G27" s="452"/>
      <c r="H27" s="452"/>
      <c r="I27" s="453"/>
      <c r="J27" s="176"/>
      <c r="K27" s="176"/>
      <c r="L27" s="111"/>
      <c r="M27" s="112">
        <f>(((((2*(B25+C25))*(D25+G25+F25))+((2*(D25+E25))*(B25+H25+F25)))/90)*I25)/1000000</f>
        <v>0</v>
      </c>
      <c r="N27" s="112">
        <f>((IF(M27&lt;=informatieblad!$I$14,informatieblad!$I$14,IF(M27&gt;=informatieblad!$I$14,M27))))</f>
        <v>0.5</v>
      </c>
      <c r="O27" s="158">
        <f>(ROUND((((2*(X27+C25))*(((2*PI()*(X27+F25))*(I25/360))+H25+G25))/1000000),2))</f>
        <v>0</v>
      </c>
      <c r="P27" s="158">
        <f>((IF(O27&lt;=informatieblad!$H$14,informatieblad!$H$14,IF(O27&gt;=informatieblad!$H$14,O27))))</f>
        <v>0</v>
      </c>
      <c r="Q27" s="113">
        <f>((P27*AA27)+(P27*T27))*C27</f>
        <v>0</v>
      </c>
      <c r="R27" s="114">
        <f>((N27*AB27)+(N27*U27))*C27</f>
        <v>0</v>
      </c>
      <c r="S27" s="115" t="str">
        <f>F27</f>
        <v>Options None</v>
      </c>
      <c r="T27" s="115">
        <f>VLOOKUP(F27,informatieblad!$A$37:$D$41,2,FALSE)</f>
        <v>0</v>
      </c>
      <c r="U27" s="115">
        <f>VLOOKUP(F27,informatieblad!$A$37:$D$41,4,FALSE)</f>
        <v>0</v>
      </c>
      <c r="V27" s="180">
        <f>(MAX(B25,C25))</f>
        <v>0</v>
      </c>
      <c r="W27" s="119">
        <f>(MAX(D25,E25))</f>
        <v>0</v>
      </c>
      <c r="X27" s="119">
        <f>(MAX(B25,D25))</f>
        <v>0</v>
      </c>
      <c r="Y27" s="119">
        <f>(MAX(B25:E25))</f>
        <v>0</v>
      </c>
      <c r="Z27" s="119">
        <f>LOOKUP(Y27,informatieblad!$C$27:$C$32,informatieblad!$A$27:$A$32)</f>
        <v>0.5</v>
      </c>
      <c r="AA27" s="118">
        <f>VLOOKUP(Z27,informatieblad!$A$27:$M$32,6,FALSE)</f>
        <v>0</v>
      </c>
      <c r="AB27" s="118">
        <f>VLOOKUP(Z27,informatieblad!$A$27:$M$32,8,FALSE)</f>
        <v>45.1248</v>
      </c>
      <c r="AC27" s="120">
        <f>VLOOKUP(Z27,informatieblad!$A$27:$M$32,13,FALSE)</f>
        <v>4</v>
      </c>
      <c r="AD27" s="121">
        <f>ROUND((AC27*M27),1)</f>
        <v>0</v>
      </c>
      <c r="AF27" s="281">
        <f>IF(B26=AF25,(2*B25)+(2*C25),IF(B26=AF26,(2*B25)+(2*C25),0))*C27</f>
        <v>0</v>
      </c>
      <c r="AG27" s="261">
        <f>IF(D26=AF25,(2*D25)+(2*E25),IF(D26=AF26,(2*D25)+(2*E25),0))*C27</f>
        <v>0</v>
      </c>
      <c r="AH27" s="111">
        <f>IF(B26=AH25,(2*B25)+(2*C25),IF(B26=AH26,(2*B25)+(2*C25),0))*C27</f>
        <v>0</v>
      </c>
      <c r="AI27" s="260">
        <f>IF(D26=AH25,(2*D25)+(2*E25),IF(D26=AH26,(2*D25)+(2*E25),0))*C27</f>
        <v>0</v>
      </c>
      <c r="AJ27" s="261">
        <f>IF(B26=AJ25,(2*B25)+(2*C25),IF(B26=AJ26,(2*B25)+(2*C25),0))*C27</f>
        <v>0</v>
      </c>
      <c r="AK27" s="260">
        <f>IF(D26=AJ25,(2*D25)+(2*E25),IF(D26=AJ26,(2*D25)+(2*E25),0))*C27</f>
        <v>0</v>
      </c>
      <c r="AL27" s="111">
        <f>IF(B26=AL25,(2*B25)+(2*C25),0)*C27</f>
        <v>0</v>
      </c>
      <c r="AM27" s="260">
        <f>IF(D26=AL25,(2*D25)+(2*E25),0)*C27</f>
        <v>0</v>
      </c>
      <c r="AN27" s="83" t="str">
        <f>'UC mounting materials '!$B$11</f>
        <v>Rail 41x41</v>
      </c>
      <c r="AO27" s="268">
        <f>IF(Y27&gt;999,(Y27+100),0)*C27</f>
        <v>0</v>
      </c>
      <c r="AQ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AR27" s="275" t="str">
        <f>IF(D26=informatieblad!$A$6,informatieblad!$B$6,IF(D26=informatieblad!$A$7,informatieblad!$B$7,IF(D26=informatieblad!$A$8,informatieblad!$B$8,IF(D26=informatieblad!$A$2,informatieblad!$B$2,IF(D26=informatieblad!$A$3,informatieblad!$B$3,IF(D26=informatieblad!$A$4,informatieblad!$B$4,IF(D26=informatieblad!$A$5,informatieblad!$B$5,"")))))))</f>
        <v/>
      </c>
      <c r="AS27" s="276">
        <f>IF(AQ27=AS25,(4*C27),0)</f>
        <v>0</v>
      </c>
      <c r="AT27" s="276">
        <f>IF(AR27=AS25,(4*C27),0)</f>
        <v>0</v>
      </c>
      <c r="AU27" s="276">
        <f>IF(AQ27=AU25,(4*C27),0)</f>
        <v>0</v>
      </c>
      <c r="AV27" s="274">
        <f>IF(AR27=AU25,(4*C27),0)</f>
        <v>0</v>
      </c>
    </row>
    <row r="28" spans="1:48" ht="5.0999999999999996" customHeight="1" thickBot="1">
      <c r="A28" s="145"/>
      <c r="B28" s="122"/>
      <c r="C28" s="122"/>
      <c r="D28" s="122"/>
      <c r="E28" s="122"/>
      <c r="F28" s="122"/>
      <c r="G28" s="122"/>
      <c r="H28" s="122"/>
      <c r="I28" s="146"/>
    </row>
    <row r="29" spans="1:48" ht="15" thickBot="1">
      <c r="A29" s="445"/>
      <c r="B29" s="96"/>
      <c r="C29" s="96"/>
      <c r="D29" s="96"/>
      <c r="E29" s="167">
        <f>C29</f>
        <v>0</v>
      </c>
      <c r="F29" s="177">
        <f>(B29&gt;0)*$I$10</f>
        <v>0</v>
      </c>
      <c r="G29" s="177">
        <f>(B29&gt;0)*$I$11</f>
        <v>0</v>
      </c>
      <c r="H29" s="177">
        <f>(B29&gt;0)*$I$12</f>
        <v>0</v>
      </c>
      <c r="I29" s="178"/>
      <c r="J29" s="345" t="s">
        <v>20</v>
      </c>
      <c r="K29" s="83"/>
      <c r="L29" s="97" t="s">
        <v>14</v>
      </c>
      <c r="M29" s="98" t="s">
        <v>27</v>
      </c>
      <c r="N29" s="98" t="s">
        <v>28</v>
      </c>
      <c r="O29" s="98" t="s">
        <v>27</v>
      </c>
      <c r="P29" s="98" t="s">
        <v>28</v>
      </c>
      <c r="Q29" s="98" t="s">
        <v>29</v>
      </c>
      <c r="R29" s="66" t="s">
        <v>30</v>
      </c>
      <c r="S29" s="153" t="s">
        <v>31</v>
      </c>
      <c r="T29" s="153"/>
      <c r="U29" s="153"/>
      <c r="V29" s="154" t="s">
        <v>83</v>
      </c>
      <c r="W29" s="100" t="s">
        <v>83</v>
      </c>
      <c r="X29" s="100" t="s">
        <v>83</v>
      </c>
      <c r="Y29" s="100" t="s">
        <v>33</v>
      </c>
      <c r="Z29" s="100" t="s">
        <v>34</v>
      </c>
      <c r="AA29" s="98" t="s">
        <v>32</v>
      </c>
      <c r="AB29" s="98" t="s">
        <v>32</v>
      </c>
      <c r="AC29" s="98" t="s">
        <v>35</v>
      </c>
      <c r="AD29" s="101" t="s">
        <v>36</v>
      </c>
      <c r="AF29" s="97" t="str">
        <f>informatieblad!$A$6</f>
        <v>FL20</v>
      </c>
      <c r="AG29" s="99"/>
      <c r="AH29" s="97" t="str">
        <f>informatieblad!$A$7</f>
        <v>FL30</v>
      </c>
      <c r="AI29" s="66"/>
      <c r="AJ29" s="99" t="str">
        <f>informatieblad!$A$8</f>
        <v>FL40</v>
      </c>
      <c r="AK29" s="66"/>
      <c r="AL29" s="97" t="str">
        <f>informatieblad!$A$5</f>
        <v>none</v>
      </c>
      <c r="AM29" s="264"/>
      <c r="AO29" s="266" t="s">
        <v>37</v>
      </c>
      <c r="AQ29" s="269" t="s">
        <v>38</v>
      </c>
      <c r="AR29" s="272"/>
      <c r="AS29" s="272">
        <f>informatieblad!$B$3</f>
        <v>0</v>
      </c>
      <c r="AT29" s="272">
        <f>informatieblad!$B$3</f>
        <v>0</v>
      </c>
      <c r="AU29" s="272">
        <f>informatieblad!$B$4</f>
        <v>0</v>
      </c>
      <c r="AV29" s="264">
        <f>informatieblad!$B$4</f>
        <v>0</v>
      </c>
    </row>
    <row r="30" spans="1:48" ht="15">
      <c r="A30" s="475"/>
      <c r="B30" s="479" t="str">
        <f>IF($C31&gt;0,IF(MAX(B29:C29)&lt;informatieblad!$Q$4,informatieblad!$P$3,IF(MAX(B29:C29)&gt;informatieblad!$R$4,informatieblad!$P$5,informatieblad!$P$4)),"")</f>
        <v/>
      </c>
      <c r="C30" s="480"/>
      <c r="D30" s="479" t="str">
        <f>IF($C31&gt;0,IF(MAX(D29:E29)&lt;informatieblad!$Q$4,informatieblad!$P$3,IF(MAX(D29:E29)&gt;informatieblad!$R$4,informatieblad!$P$5,informatieblad!$P$4)),"")</f>
        <v/>
      </c>
      <c r="E30" s="480"/>
      <c r="F30" s="173" t="str">
        <f>A29&amp;"-"&amp;informatieblad!$B$14&amp;"-"&amp;B29&amp;"-"&amp;C29&amp;"-"&amp;D29&amp;"-"&amp;E29&amp;"-"&amp;F29&amp;"-"&amp;G29&amp;"-"&amp;H29&amp;"-"&amp;I29&amp;"-"&amp;B30&amp;"-"&amp;D30&amp;"-"&amp;F31</f>
        <v>-RctB----0-0-0-0----Options None</v>
      </c>
      <c r="G30" s="174"/>
      <c r="H30" s="179"/>
      <c r="I30" s="175"/>
      <c r="J30" s="83"/>
      <c r="K30" s="83"/>
      <c r="L30" s="103">
        <f>A29</f>
        <v>0</v>
      </c>
      <c r="M30" s="104" t="s">
        <v>39</v>
      </c>
      <c r="N30" s="104" t="s">
        <v>39</v>
      </c>
      <c r="O30" s="104" t="s">
        <v>40</v>
      </c>
      <c r="P30" s="104" t="s">
        <v>40</v>
      </c>
      <c r="Q30" s="104" t="s">
        <v>40</v>
      </c>
      <c r="R30" s="105"/>
      <c r="S30" s="155" t="s">
        <v>27</v>
      </c>
      <c r="T30" s="155" t="s">
        <v>40</v>
      </c>
      <c r="U30" s="155" t="s">
        <v>41</v>
      </c>
      <c r="V30" s="156" t="s">
        <v>105</v>
      </c>
      <c r="W30" s="104" t="s">
        <v>106</v>
      </c>
      <c r="X30" s="107" t="s">
        <v>87</v>
      </c>
      <c r="Y30" s="107"/>
      <c r="Z30" s="107"/>
      <c r="AA30" s="104" t="s">
        <v>40</v>
      </c>
      <c r="AB30" s="104" t="s">
        <v>41</v>
      </c>
      <c r="AC30" s="108"/>
      <c r="AD30" s="109"/>
      <c r="AF30" s="262" t="str">
        <f>informatieblad!$A$2</f>
        <v>FL20 loose</v>
      </c>
      <c r="AG30" s="263"/>
      <c r="AH30" s="262" t="str">
        <f>informatieblad!$A$3</f>
        <v>FL30 loose</v>
      </c>
      <c r="AI30" s="105"/>
      <c r="AJ30" s="263" t="str">
        <f>informatieblad!$A$4</f>
        <v>FL40 loose</v>
      </c>
      <c r="AK30" s="105"/>
      <c r="AL30" s="265"/>
      <c r="AM30" s="105"/>
      <c r="AN30" s="83" t="str">
        <f>'UC mounting materials '!$B$10</f>
        <v>Rail 30x15</v>
      </c>
      <c r="AO30" s="327">
        <f>IF(Y31&lt;1000,(Y31+100),0)*C31</f>
        <v>0</v>
      </c>
      <c r="AQ30" s="265" t="s">
        <v>47</v>
      </c>
      <c r="AR30" s="106" t="s">
        <v>48</v>
      </c>
      <c r="AS30" s="83" t="s">
        <v>23</v>
      </c>
      <c r="AT30" s="83" t="s">
        <v>23</v>
      </c>
      <c r="AU30" s="83" t="s">
        <v>23</v>
      </c>
      <c r="AV30" s="273" t="s">
        <v>23</v>
      </c>
    </row>
    <row r="31" spans="1:48" ht="15.75" thickBot="1">
      <c r="A31" s="447"/>
      <c r="B31" s="92" t="s">
        <v>23</v>
      </c>
      <c r="C31" s="110"/>
      <c r="D31" s="94">
        <f>C31*N31</f>
        <v>0</v>
      </c>
      <c r="E31" s="141" t="s">
        <v>24</v>
      </c>
      <c r="F31" s="451" t="s">
        <v>25</v>
      </c>
      <c r="G31" s="452"/>
      <c r="H31" s="452"/>
      <c r="I31" s="453"/>
      <c r="J31" s="176"/>
      <c r="K31" s="176"/>
      <c r="L31" s="111"/>
      <c r="M31" s="112">
        <f>(((((2*(B29+C29))*(D29+G29+F29))+((2*(D29+E29))*(B29+H29+F29)))/90)*I29)/1000000</f>
        <v>0</v>
      </c>
      <c r="N31" s="112">
        <f>((IF(M31&lt;=informatieblad!$I$14,informatieblad!$I$14,IF(M31&gt;=informatieblad!$I$14,M31))))</f>
        <v>0.5</v>
      </c>
      <c r="O31" s="158">
        <f>(ROUND((((2*(X31+C29))*(((2*PI()*(X31+F29))*(I29/360))+H29+G29))/1000000),2))</f>
        <v>0</v>
      </c>
      <c r="P31" s="158">
        <f>((IF(O31&lt;=informatieblad!$H$14,informatieblad!$H$14,IF(O31&gt;=informatieblad!$H$14,O31))))</f>
        <v>0</v>
      </c>
      <c r="Q31" s="113">
        <f>((P31*AA31)+(P31*T31))*C31</f>
        <v>0</v>
      </c>
      <c r="R31" s="114">
        <f>((N31*AB31)+(N31*U31))*C31</f>
        <v>0</v>
      </c>
      <c r="S31" s="115" t="str">
        <f>F31</f>
        <v>Options None</v>
      </c>
      <c r="T31" s="115">
        <f>VLOOKUP(F31,informatieblad!$A$37:$D$41,2,FALSE)</f>
        <v>0</v>
      </c>
      <c r="U31" s="115">
        <f>VLOOKUP(F31,informatieblad!$A$37:$D$41,4,FALSE)</f>
        <v>0</v>
      </c>
      <c r="V31" s="180">
        <f>(MAX(B29,C29))</f>
        <v>0</v>
      </c>
      <c r="W31" s="119">
        <f>(MAX(D29,E29))</f>
        <v>0</v>
      </c>
      <c r="X31" s="119">
        <f>(MAX(B29,D29))</f>
        <v>0</v>
      </c>
      <c r="Y31" s="119">
        <f>(MAX(B29:E29))</f>
        <v>0</v>
      </c>
      <c r="Z31" s="119">
        <f>LOOKUP(Y31,informatieblad!$C$27:$C$32,informatieblad!$A$27:$A$32)</f>
        <v>0.5</v>
      </c>
      <c r="AA31" s="118">
        <f>VLOOKUP(Z31,informatieblad!$A$27:$M$32,6,FALSE)</f>
        <v>0</v>
      </c>
      <c r="AB31" s="118">
        <f>VLOOKUP(Z31,informatieblad!$A$27:$M$32,8,FALSE)</f>
        <v>45.1248</v>
      </c>
      <c r="AC31" s="120">
        <f>VLOOKUP(Z31,informatieblad!$A$27:$M$32,13,FALSE)</f>
        <v>4</v>
      </c>
      <c r="AD31" s="121">
        <f>ROUND((AC31*M31),1)</f>
        <v>0</v>
      </c>
      <c r="AF31" s="281">
        <f>IF(B30=AF29,(2*B29)+(2*C29),IF(B30=AF30,(2*B29)+(2*C29),0))*C31</f>
        <v>0</v>
      </c>
      <c r="AG31" s="261">
        <f>IF(D30=AF29,(2*D29)+(2*E29),IF(D30=AF30,(2*D29)+(2*E29),0))*C31</f>
        <v>0</v>
      </c>
      <c r="AH31" s="111">
        <f>IF(B30=AH29,(2*B29)+(2*C29),IF(B30=AH30,(2*B29)+(2*C29),0))*C31</f>
        <v>0</v>
      </c>
      <c r="AI31" s="260">
        <f>IF(D30=AH29,(2*D29)+(2*E29),IF(D30=AH30,(2*D29)+(2*E29),0))*C31</f>
        <v>0</v>
      </c>
      <c r="AJ31" s="261">
        <f>IF(B30=AJ29,(2*B29)+(2*C29),IF(B30=AJ30,(2*B29)+(2*C29),0))*C31</f>
        <v>0</v>
      </c>
      <c r="AK31" s="260">
        <f>IF(D30=AJ29,(2*D29)+(2*E29),IF(D30=AJ30,(2*D29)+(2*E29),0))*C31</f>
        <v>0</v>
      </c>
      <c r="AL31" s="111">
        <f>IF(B30=AL29,(2*B29)+(2*C29),0)*C31</f>
        <v>0</v>
      </c>
      <c r="AM31" s="260">
        <f>IF(D30=AL29,(2*D29)+(2*E29),0)*C31</f>
        <v>0</v>
      </c>
      <c r="AN31" s="83" t="str">
        <f>'UC mounting materials '!$B$11</f>
        <v>Rail 41x41</v>
      </c>
      <c r="AO31" s="268">
        <f>IF(Y31&gt;999,(Y31+100),0)*C31</f>
        <v>0</v>
      </c>
      <c r="AQ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AR31" s="275" t="str">
        <f>IF(D30=informatieblad!$A$6,informatieblad!$B$6,IF(D30=informatieblad!$A$7,informatieblad!$B$7,IF(D30=informatieblad!$A$8,informatieblad!$B$8,IF(D30=informatieblad!$A$2,informatieblad!$B$2,IF(D30=informatieblad!$A$3,informatieblad!$B$3,IF(D30=informatieblad!$A$4,informatieblad!$B$4,IF(D30=informatieblad!$A$5,informatieblad!$B$5,"")))))))</f>
        <v/>
      </c>
      <c r="AS31" s="276">
        <f>IF(AQ31=AS29,(4*C31),0)</f>
        <v>0</v>
      </c>
      <c r="AT31" s="276">
        <f>IF(AR31=AS29,(4*C31),0)</f>
        <v>0</v>
      </c>
      <c r="AU31" s="276">
        <f>IF(AQ31=AU29,(4*C31),0)</f>
        <v>0</v>
      </c>
      <c r="AV31" s="274">
        <f>IF(AR31=AU29,(4*C31),0)</f>
        <v>0</v>
      </c>
    </row>
    <row r="32" spans="1:48" ht="5.0999999999999996" customHeight="1" thickBot="1">
      <c r="A32" s="145"/>
      <c r="B32" s="122"/>
      <c r="C32" s="122"/>
      <c r="D32" s="122"/>
      <c r="E32" s="122"/>
      <c r="F32" s="122"/>
      <c r="G32" s="122"/>
      <c r="H32" s="122"/>
      <c r="I32" s="146"/>
    </row>
    <row r="33" spans="1:48" ht="15" thickBot="1">
      <c r="A33" s="445"/>
      <c r="B33" s="96"/>
      <c r="C33" s="96"/>
      <c r="D33" s="96"/>
      <c r="E33" s="167">
        <f>C33</f>
        <v>0</v>
      </c>
      <c r="F33" s="177">
        <f>(B33&gt;0)*$I$10</f>
        <v>0</v>
      </c>
      <c r="G33" s="177">
        <f>(B33&gt;0)*$I$11</f>
        <v>0</v>
      </c>
      <c r="H33" s="177">
        <f>(B33&gt;0)*$I$12</f>
        <v>0</v>
      </c>
      <c r="I33" s="178"/>
      <c r="J33" s="345" t="s">
        <v>20</v>
      </c>
      <c r="K33" s="83"/>
      <c r="L33" s="97" t="s">
        <v>14</v>
      </c>
      <c r="M33" s="98" t="s">
        <v>27</v>
      </c>
      <c r="N33" s="98" t="s">
        <v>28</v>
      </c>
      <c r="O33" s="98" t="s">
        <v>27</v>
      </c>
      <c r="P33" s="98" t="s">
        <v>28</v>
      </c>
      <c r="Q33" s="98" t="s">
        <v>29</v>
      </c>
      <c r="R33" s="66" t="s">
        <v>30</v>
      </c>
      <c r="S33" s="153" t="s">
        <v>31</v>
      </c>
      <c r="T33" s="153"/>
      <c r="U33" s="153"/>
      <c r="V33" s="154" t="s">
        <v>83</v>
      </c>
      <c r="W33" s="100" t="s">
        <v>83</v>
      </c>
      <c r="X33" s="100" t="s">
        <v>83</v>
      </c>
      <c r="Y33" s="100" t="s">
        <v>33</v>
      </c>
      <c r="Z33" s="100" t="s">
        <v>34</v>
      </c>
      <c r="AA33" s="98" t="s">
        <v>32</v>
      </c>
      <c r="AB33" s="98" t="s">
        <v>32</v>
      </c>
      <c r="AC33" s="98" t="s">
        <v>35</v>
      </c>
      <c r="AD33" s="101" t="s">
        <v>36</v>
      </c>
      <c r="AF33" s="97" t="str">
        <f>informatieblad!$A$6</f>
        <v>FL20</v>
      </c>
      <c r="AG33" s="99"/>
      <c r="AH33" s="97" t="str">
        <f>informatieblad!$A$7</f>
        <v>FL30</v>
      </c>
      <c r="AI33" s="66"/>
      <c r="AJ33" s="99" t="str">
        <f>informatieblad!$A$8</f>
        <v>FL40</v>
      </c>
      <c r="AK33" s="66"/>
      <c r="AL33" s="97" t="str">
        <f>informatieblad!$A$5</f>
        <v>none</v>
      </c>
      <c r="AM33" s="264"/>
      <c r="AO33" s="266" t="s">
        <v>37</v>
      </c>
      <c r="AQ33" s="269" t="s">
        <v>38</v>
      </c>
      <c r="AR33" s="272"/>
      <c r="AS33" s="272">
        <f>informatieblad!$B$3</f>
        <v>0</v>
      </c>
      <c r="AT33" s="272">
        <f>informatieblad!$B$3</f>
        <v>0</v>
      </c>
      <c r="AU33" s="272">
        <f>informatieblad!$B$4</f>
        <v>0</v>
      </c>
      <c r="AV33" s="264">
        <f>informatieblad!$B$4</f>
        <v>0</v>
      </c>
    </row>
    <row r="34" spans="1:48" ht="15">
      <c r="A34" s="475"/>
      <c r="B34" s="479" t="str">
        <f>IF($C35&gt;0,IF(MAX(B33:C33)&lt;informatieblad!$Q$4,informatieblad!$P$3,IF(MAX(B33:C33)&gt;informatieblad!$R$4,informatieblad!$P$5,informatieblad!$P$4)),"")</f>
        <v/>
      </c>
      <c r="C34" s="480"/>
      <c r="D34" s="479" t="str">
        <f>IF($C35&gt;0,IF(MAX(D33:E33)&lt;informatieblad!$Q$4,informatieblad!$P$3,IF(MAX(D33:E33)&gt;informatieblad!$R$4,informatieblad!$P$5,informatieblad!$P$4)),"")</f>
        <v/>
      </c>
      <c r="E34" s="480"/>
      <c r="F34" s="173" t="str">
        <f>A33&amp;"-"&amp;informatieblad!$B$14&amp;"-"&amp;B33&amp;"-"&amp;C33&amp;"-"&amp;D33&amp;"-"&amp;E33&amp;"-"&amp;F33&amp;"-"&amp;G33&amp;"-"&amp;H33&amp;"-"&amp;I33&amp;"-"&amp;B34&amp;"-"&amp;D34&amp;"-"&amp;F35</f>
        <v>-RctB----0-0-0-0----Options None</v>
      </c>
      <c r="G34" s="174"/>
      <c r="H34" s="179"/>
      <c r="I34" s="175"/>
      <c r="J34" s="83"/>
      <c r="K34" s="83"/>
      <c r="L34" s="103">
        <f>A33</f>
        <v>0</v>
      </c>
      <c r="M34" s="104" t="s">
        <v>39</v>
      </c>
      <c r="N34" s="104" t="s">
        <v>39</v>
      </c>
      <c r="O34" s="104" t="s">
        <v>40</v>
      </c>
      <c r="P34" s="104" t="s">
        <v>40</v>
      </c>
      <c r="Q34" s="104" t="s">
        <v>40</v>
      </c>
      <c r="R34" s="105"/>
      <c r="S34" s="155" t="s">
        <v>27</v>
      </c>
      <c r="T34" s="155" t="s">
        <v>40</v>
      </c>
      <c r="U34" s="155" t="s">
        <v>41</v>
      </c>
      <c r="V34" s="156" t="s">
        <v>105</v>
      </c>
      <c r="W34" s="104" t="s">
        <v>106</v>
      </c>
      <c r="X34" s="107" t="s">
        <v>87</v>
      </c>
      <c r="Y34" s="107"/>
      <c r="Z34" s="107"/>
      <c r="AA34" s="104" t="s">
        <v>40</v>
      </c>
      <c r="AB34" s="104" t="s">
        <v>41</v>
      </c>
      <c r="AC34" s="108"/>
      <c r="AD34" s="109"/>
      <c r="AF34" s="262" t="str">
        <f>informatieblad!$A$2</f>
        <v>FL20 loose</v>
      </c>
      <c r="AG34" s="263"/>
      <c r="AH34" s="262" t="str">
        <f>informatieblad!$A$3</f>
        <v>FL30 loose</v>
      </c>
      <c r="AI34" s="105"/>
      <c r="AJ34" s="263" t="str">
        <f>informatieblad!$A$4</f>
        <v>FL40 loose</v>
      </c>
      <c r="AK34" s="105"/>
      <c r="AL34" s="265"/>
      <c r="AM34" s="105"/>
      <c r="AN34" s="83" t="str">
        <f>'UC mounting materials '!$B$10</f>
        <v>Rail 30x15</v>
      </c>
      <c r="AO34" s="327">
        <f>IF(Y35&lt;1000,(Y35+100),0)*C35</f>
        <v>0</v>
      </c>
      <c r="AQ34" s="265" t="s">
        <v>47</v>
      </c>
      <c r="AR34" s="106" t="s">
        <v>48</v>
      </c>
      <c r="AS34" s="83" t="s">
        <v>23</v>
      </c>
      <c r="AT34" s="83" t="s">
        <v>23</v>
      </c>
      <c r="AU34" s="83" t="s">
        <v>23</v>
      </c>
      <c r="AV34" s="273" t="s">
        <v>23</v>
      </c>
    </row>
    <row r="35" spans="1:48" ht="15.75" thickBot="1">
      <c r="A35" s="447"/>
      <c r="B35" s="92" t="s">
        <v>23</v>
      </c>
      <c r="C35" s="110"/>
      <c r="D35" s="94">
        <f>C35*N35</f>
        <v>0</v>
      </c>
      <c r="E35" s="141" t="s">
        <v>24</v>
      </c>
      <c r="F35" s="451" t="s">
        <v>25</v>
      </c>
      <c r="G35" s="452"/>
      <c r="H35" s="452"/>
      <c r="I35" s="453"/>
      <c r="J35" s="176"/>
      <c r="K35" s="176"/>
      <c r="L35" s="111"/>
      <c r="M35" s="112">
        <f>(((((2*(B33+C33))*(D33+G33+F33))+((2*(D33+E33))*(B33+H33+F33)))/90)*I33)/1000000</f>
        <v>0</v>
      </c>
      <c r="N35" s="112">
        <f>((IF(M35&lt;=informatieblad!$I$14,informatieblad!$I$14,IF(M35&gt;=informatieblad!$I$14,M35))))</f>
        <v>0.5</v>
      </c>
      <c r="O35" s="158">
        <f>(ROUND((((2*(X35+C33))*(((2*PI()*(X35+F33))*(I33/360))+H33+G33))/1000000),2))</f>
        <v>0</v>
      </c>
      <c r="P35" s="158">
        <f>((IF(O35&lt;=informatieblad!$H$14,informatieblad!$H$14,IF(O35&gt;=informatieblad!$H$14,O35))))</f>
        <v>0</v>
      </c>
      <c r="Q35" s="113">
        <f>((P35*AA35)+(P35*T35))*C35</f>
        <v>0</v>
      </c>
      <c r="R35" s="114">
        <f>((N35*AB35)+(N35*U35))*C35</f>
        <v>0</v>
      </c>
      <c r="S35" s="115" t="str">
        <f>F35</f>
        <v>Options None</v>
      </c>
      <c r="T35" s="115">
        <f>VLOOKUP(F35,informatieblad!$A$37:$D$41,2,FALSE)</f>
        <v>0</v>
      </c>
      <c r="U35" s="115">
        <f>VLOOKUP(F35,informatieblad!$A$37:$D$41,4,FALSE)</f>
        <v>0</v>
      </c>
      <c r="V35" s="180">
        <f>(MAX(B33,C33))</f>
        <v>0</v>
      </c>
      <c r="W35" s="119">
        <f>(MAX(D33,E33))</f>
        <v>0</v>
      </c>
      <c r="X35" s="119">
        <f>(MAX(B33,D33))</f>
        <v>0</v>
      </c>
      <c r="Y35" s="119">
        <f>(MAX(B33:E33))</f>
        <v>0</v>
      </c>
      <c r="Z35" s="119">
        <f>LOOKUP(Y35,informatieblad!$C$27:$C$32,informatieblad!$A$27:$A$32)</f>
        <v>0.5</v>
      </c>
      <c r="AA35" s="118">
        <f>VLOOKUP(Z35,informatieblad!$A$27:$M$32,6,FALSE)</f>
        <v>0</v>
      </c>
      <c r="AB35" s="118">
        <f>VLOOKUP(Z35,informatieblad!$A$27:$M$32,8,FALSE)</f>
        <v>45.1248</v>
      </c>
      <c r="AC35" s="120">
        <f>VLOOKUP(Z35,informatieblad!$A$27:$M$32,13,FALSE)</f>
        <v>4</v>
      </c>
      <c r="AD35" s="121">
        <f>ROUND((AC35*M35),1)</f>
        <v>0</v>
      </c>
      <c r="AF35" s="281">
        <f>IF(B34=AF33,(2*B33)+(2*C33),IF(B34=AF34,(2*B33)+(2*C33),0))*C35</f>
        <v>0</v>
      </c>
      <c r="AG35" s="261">
        <f>IF(D34=AF33,(2*D33)+(2*E33),IF(D34=AF34,(2*D33)+(2*E33),0))*C35</f>
        <v>0</v>
      </c>
      <c r="AH35" s="111">
        <f>IF(B34=AH33,(2*B33)+(2*C33),IF(B34=AH34,(2*B33)+(2*C33),0))*C35</f>
        <v>0</v>
      </c>
      <c r="AI35" s="260">
        <f>IF(D34=AH33,(2*D33)+(2*E33),IF(D34=AH34,(2*D33)+(2*E33),0))*C35</f>
        <v>0</v>
      </c>
      <c r="AJ35" s="261">
        <f>IF(B34=AJ33,(2*B33)+(2*C33),IF(B34=AJ34,(2*B33)+(2*C33),0))*C35</f>
        <v>0</v>
      </c>
      <c r="AK35" s="260">
        <f>IF(D34=AJ33,(2*D33)+(2*E33),IF(D34=AJ34,(2*D33)+(2*E33),0))*C35</f>
        <v>0</v>
      </c>
      <c r="AL35" s="111">
        <f>IF(B34=AL33,(2*B33)+(2*C33),0)*C35</f>
        <v>0</v>
      </c>
      <c r="AM35" s="260">
        <f>IF(D34=AL33,(2*D33)+(2*E33),0)*C35</f>
        <v>0</v>
      </c>
      <c r="AN35" s="83" t="str">
        <f>'UC mounting materials '!$B$11</f>
        <v>Rail 41x41</v>
      </c>
      <c r="AO35" s="268">
        <f>IF(Y35&gt;999,(Y35+100),0)*C35</f>
        <v>0</v>
      </c>
      <c r="AQ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AR35" s="275" t="str">
        <f>IF(D34=informatieblad!$A$6,informatieblad!$B$6,IF(D34=informatieblad!$A$7,informatieblad!$B$7,IF(D34=informatieblad!$A$8,informatieblad!$B$8,IF(D34=informatieblad!$A$2,informatieblad!$B$2,IF(D34=informatieblad!$A$3,informatieblad!$B$3,IF(D34=informatieblad!$A$4,informatieblad!$B$4,IF(D34=informatieblad!$A$5,informatieblad!$B$5,"")))))))</f>
        <v/>
      </c>
      <c r="AS35" s="276">
        <f>IF(AQ35=AS33,(4*C35),0)</f>
        <v>0</v>
      </c>
      <c r="AT35" s="276">
        <f>IF(AR35=AS33,(4*C35),0)</f>
        <v>0</v>
      </c>
      <c r="AU35" s="276">
        <f>IF(AQ35=AU33,(4*C35),0)</f>
        <v>0</v>
      </c>
      <c r="AV35" s="274">
        <f>IF(AR35=AU33,(4*C35),0)</f>
        <v>0</v>
      </c>
    </row>
    <row r="36" spans="1:48" ht="5.0999999999999996" customHeight="1" thickBot="1">
      <c r="A36" s="145"/>
      <c r="B36" s="122"/>
      <c r="C36" s="122"/>
      <c r="D36" s="122"/>
      <c r="E36" s="122"/>
      <c r="F36" s="122"/>
      <c r="G36" s="122"/>
      <c r="H36" s="122"/>
      <c r="I36" s="146"/>
    </row>
    <row r="37" spans="1:48" ht="15" thickBot="1">
      <c r="A37" s="445"/>
      <c r="B37" s="96"/>
      <c r="C37" s="96"/>
      <c r="D37" s="96"/>
      <c r="E37" s="167">
        <f>C37</f>
        <v>0</v>
      </c>
      <c r="F37" s="177">
        <f>(B37&gt;0)*$I$10</f>
        <v>0</v>
      </c>
      <c r="G37" s="177">
        <f>(B37&gt;0)*$I$11</f>
        <v>0</v>
      </c>
      <c r="H37" s="177">
        <f>(B37&gt;0)*$I$12</f>
        <v>0</v>
      </c>
      <c r="I37" s="178"/>
      <c r="J37" s="345" t="s">
        <v>20</v>
      </c>
      <c r="K37" s="83"/>
      <c r="L37" s="97" t="s">
        <v>14</v>
      </c>
      <c r="M37" s="98" t="s">
        <v>27</v>
      </c>
      <c r="N37" s="98" t="s">
        <v>28</v>
      </c>
      <c r="O37" s="98"/>
      <c r="P37" s="98" t="s">
        <v>28</v>
      </c>
      <c r="Q37" s="98" t="s">
        <v>29</v>
      </c>
      <c r="R37" s="66" t="s">
        <v>30</v>
      </c>
      <c r="S37" s="153" t="s">
        <v>31</v>
      </c>
      <c r="T37" s="153"/>
      <c r="U37" s="153"/>
      <c r="V37" s="154" t="s">
        <v>83</v>
      </c>
      <c r="W37" s="100" t="s">
        <v>83</v>
      </c>
      <c r="X37" s="100" t="s">
        <v>83</v>
      </c>
      <c r="Y37" s="100" t="s">
        <v>33</v>
      </c>
      <c r="Z37" s="100" t="s">
        <v>34</v>
      </c>
      <c r="AA37" s="98" t="s">
        <v>32</v>
      </c>
      <c r="AB37" s="98" t="s">
        <v>32</v>
      </c>
      <c r="AC37" s="98" t="s">
        <v>35</v>
      </c>
      <c r="AD37" s="101" t="s">
        <v>36</v>
      </c>
      <c r="AF37" s="97" t="str">
        <f>informatieblad!$A$6</f>
        <v>FL20</v>
      </c>
      <c r="AG37" s="99"/>
      <c r="AH37" s="97" t="str">
        <f>informatieblad!$A$7</f>
        <v>FL30</v>
      </c>
      <c r="AI37" s="66"/>
      <c r="AJ37" s="99" t="str">
        <f>informatieblad!$A$8</f>
        <v>FL40</v>
      </c>
      <c r="AK37" s="66"/>
      <c r="AL37" s="97" t="str">
        <f>informatieblad!$A$5</f>
        <v>none</v>
      </c>
      <c r="AM37" s="264"/>
      <c r="AO37" s="266" t="s">
        <v>37</v>
      </c>
      <c r="AQ37" s="269" t="s">
        <v>38</v>
      </c>
      <c r="AR37" s="272"/>
      <c r="AS37" s="272">
        <f>informatieblad!$B$3</f>
        <v>0</v>
      </c>
      <c r="AT37" s="272">
        <f>informatieblad!$B$3</f>
        <v>0</v>
      </c>
      <c r="AU37" s="272">
        <f>informatieblad!$B$4</f>
        <v>0</v>
      </c>
      <c r="AV37" s="264">
        <f>informatieblad!$B$4</f>
        <v>0</v>
      </c>
    </row>
    <row r="38" spans="1:48" ht="15">
      <c r="A38" s="475"/>
      <c r="B38" s="479" t="str">
        <f>IF($C39&gt;0,IF(MAX(B37:C37)&lt;informatieblad!$Q$4,informatieblad!$P$3,IF(MAX(B37:C37)&gt;informatieblad!$R$4,informatieblad!$P$5,informatieblad!$P$4)),"")</f>
        <v/>
      </c>
      <c r="C38" s="480"/>
      <c r="D38" s="479" t="str">
        <f>IF($C39&gt;0,IF(MAX(D37:E37)&lt;informatieblad!$Q$4,informatieblad!$P$3,IF(MAX(D37:E37)&gt;informatieblad!$R$4,informatieblad!$P$5,informatieblad!$P$4)),"")</f>
        <v/>
      </c>
      <c r="E38" s="480"/>
      <c r="F38" s="173" t="str">
        <f>A37&amp;"-"&amp;informatieblad!$B$14&amp;"-"&amp;B37&amp;"-"&amp;C37&amp;"-"&amp;D37&amp;"-"&amp;E37&amp;"-"&amp;F37&amp;"-"&amp;G37&amp;"-"&amp;H37&amp;"-"&amp;I37&amp;"-"&amp;B38&amp;"-"&amp;D38&amp;"-"&amp;F39</f>
        <v>-RctB----0-0-0-0----Options None</v>
      </c>
      <c r="G38" s="174"/>
      <c r="H38" s="179"/>
      <c r="I38" s="175"/>
      <c r="J38" s="83"/>
      <c r="K38" s="83"/>
      <c r="L38" s="103">
        <f>A37</f>
        <v>0</v>
      </c>
      <c r="M38" s="104" t="s">
        <v>39</v>
      </c>
      <c r="N38" s="104" t="s">
        <v>39</v>
      </c>
      <c r="O38" s="104" t="s">
        <v>40</v>
      </c>
      <c r="P38" s="104" t="s">
        <v>40</v>
      </c>
      <c r="Q38" s="104" t="s">
        <v>40</v>
      </c>
      <c r="R38" s="105"/>
      <c r="S38" s="155" t="s">
        <v>27</v>
      </c>
      <c r="T38" s="155" t="s">
        <v>40</v>
      </c>
      <c r="U38" s="155" t="s">
        <v>41</v>
      </c>
      <c r="V38" s="156" t="s">
        <v>105</v>
      </c>
      <c r="W38" s="104" t="s">
        <v>106</v>
      </c>
      <c r="X38" s="107" t="s">
        <v>87</v>
      </c>
      <c r="Y38" s="107"/>
      <c r="Z38" s="107"/>
      <c r="AA38" s="104" t="s">
        <v>40</v>
      </c>
      <c r="AB38" s="104" t="s">
        <v>41</v>
      </c>
      <c r="AC38" s="108"/>
      <c r="AD38" s="109"/>
      <c r="AF38" s="262" t="str">
        <f>informatieblad!$A$2</f>
        <v>FL20 loose</v>
      </c>
      <c r="AG38" s="263"/>
      <c r="AH38" s="262" t="str">
        <f>informatieblad!$A$3</f>
        <v>FL30 loose</v>
      </c>
      <c r="AI38" s="105"/>
      <c r="AJ38" s="263" t="str">
        <f>informatieblad!$A$4</f>
        <v>FL40 loose</v>
      </c>
      <c r="AK38" s="105"/>
      <c r="AL38" s="265"/>
      <c r="AM38" s="105"/>
      <c r="AN38" s="83" t="str">
        <f>'UC mounting materials '!$B$10</f>
        <v>Rail 30x15</v>
      </c>
      <c r="AO38" s="327">
        <f>IF(Y39&lt;1000,(Y39+100),0)*C39</f>
        <v>0</v>
      </c>
      <c r="AQ38" s="265" t="s">
        <v>47</v>
      </c>
      <c r="AR38" s="106" t="s">
        <v>48</v>
      </c>
      <c r="AS38" s="83" t="s">
        <v>23</v>
      </c>
      <c r="AT38" s="83" t="s">
        <v>23</v>
      </c>
      <c r="AU38" s="83" t="s">
        <v>23</v>
      </c>
      <c r="AV38" s="273" t="s">
        <v>23</v>
      </c>
    </row>
    <row r="39" spans="1:48" ht="15.75" thickBot="1">
      <c r="A39" s="447"/>
      <c r="B39" s="92" t="s">
        <v>23</v>
      </c>
      <c r="C39" s="110"/>
      <c r="D39" s="94">
        <f>C39*N39</f>
        <v>0</v>
      </c>
      <c r="E39" s="141" t="s">
        <v>24</v>
      </c>
      <c r="F39" s="451" t="s">
        <v>25</v>
      </c>
      <c r="G39" s="452"/>
      <c r="H39" s="452"/>
      <c r="I39" s="453"/>
      <c r="J39" s="176"/>
      <c r="K39" s="176"/>
      <c r="L39" s="111"/>
      <c r="M39" s="112">
        <f>(((((2*(B37+C37))*(D37+G37+F37))+((2*(D37+E37))*(B37+H37+F37)))/90)*I37)/1000000</f>
        <v>0</v>
      </c>
      <c r="N39" s="112">
        <f>((IF(M39&lt;=informatieblad!$I$14,informatieblad!$I$14,IF(M39&gt;=informatieblad!$I$14,M39))))</f>
        <v>0.5</v>
      </c>
      <c r="O39" s="158">
        <f>(ROUND((((2*(X39+C37))*(((2*PI()*(X39+F37))*(I37/360))+H37+G37))/1000000),2))</f>
        <v>0</v>
      </c>
      <c r="P39" s="158">
        <f>((IF(O39&lt;=informatieblad!$H$14,informatieblad!$H$14,IF(O39&gt;=informatieblad!$H$14,O39))))</f>
        <v>0</v>
      </c>
      <c r="Q39" s="113">
        <f>((P39*AA39)+(P39*T39))*C39</f>
        <v>0</v>
      </c>
      <c r="R39" s="114">
        <f>((N39*AB39)+(N39*U39))*C39</f>
        <v>0</v>
      </c>
      <c r="S39" s="115" t="str">
        <f>F39</f>
        <v>Options None</v>
      </c>
      <c r="T39" s="115">
        <f>VLOOKUP(F39,informatieblad!$A$37:$D$41,2,FALSE)</f>
        <v>0</v>
      </c>
      <c r="U39" s="115">
        <f>VLOOKUP(F39,informatieblad!$A$37:$D$41,4,FALSE)</f>
        <v>0</v>
      </c>
      <c r="V39" s="180">
        <f>(MAX(B37,C37))</f>
        <v>0</v>
      </c>
      <c r="W39" s="119">
        <f>(MAX(D37,E37))</f>
        <v>0</v>
      </c>
      <c r="X39" s="119">
        <f>(MAX(B37,D37))</f>
        <v>0</v>
      </c>
      <c r="Y39" s="119">
        <f>(MAX(B37:E37))</f>
        <v>0</v>
      </c>
      <c r="Z39" s="119">
        <f>LOOKUP(Y39,informatieblad!$C$27:$C$32,informatieblad!$A$27:$A$32)</f>
        <v>0.5</v>
      </c>
      <c r="AA39" s="118">
        <f>VLOOKUP(Z39,informatieblad!$A$27:$M$32,6,FALSE)</f>
        <v>0</v>
      </c>
      <c r="AB39" s="118">
        <f>VLOOKUP(Z39,informatieblad!$A$27:$M$32,8,FALSE)</f>
        <v>45.1248</v>
      </c>
      <c r="AC39" s="120">
        <f>VLOOKUP(Z39,informatieblad!$A$27:$M$32,13,FALSE)</f>
        <v>4</v>
      </c>
      <c r="AD39" s="121">
        <f>ROUND((AC39*M39),1)</f>
        <v>0</v>
      </c>
      <c r="AF39" s="281">
        <f>IF(B38=AF37,(2*B37)+(2*C37),IF(B38=AF38,(2*B37)+(2*C37),0))*C39</f>
        <v>0</v>
      </c>
      <c r="AG39" s="261">
        <f>IF(D38=AF37,(2*D37)+(2*E37),IF(D38=AF38,(2*D37)+(2*E37),0))*C39</f>
        <v>0</v>
      </c>
      <c r="AH39" s="111">
        <f>IF(B38=AH37,(2*B37)+(2*C37),IF(B38=AH38,(2*B37)+(2*C37),0))*C39</f>
        <v>0</v>
      </c>
      <c r="AI39" s="260">
        <f>IF(D38=AH37,(2*D37)+(2*E37),IF(D38=AH38,(2*D37)+(2*E37),0))*C39</f>
        <v>0</v>
      </c>
      <c r="AJ39" s="261">
        <f>IF(B38=AJ37,(2*B37)+(2*C37),IF(B38=AJ38,(2*B37)+(2*C37),0))*C39</f>
        <v>0</v>
      </c>
      <c r="AK39" s="260">
        <f>IF(D38=AJ37,(2*D37)+(2*E37),IF(D38=AJ38,(2*D37)+(2*E37),0))*C39</f>
        <v>0</v>
      </c>
      <c r="AL39" s="111">
        <f>IF(B38=AL37,(2*B37)+(2*C37),0)*C39</f>
        <v>0</v>
      </c>
      <c r="AM39" s="260">
        <f>IF(D38=AL37,(2*D37)+(2*E37),0)*C39</f>
        <v>0</v>
      </c>
      <c r="AN39" s="83" t="str">
        <f>'UC mounting materials '!$B$11</f>
        <v>Rail 41x41</v>
      </c>
      <c r="AO39" s="268">
        <f>IF(Y39&gt;999,(Y39+100),0)*C39</f>
        <v>0</v>
      </c>
      <c r="AQ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AR39" s="275" t="str">
        <f>IF(D38=informatieblad!$A$6,informatieblad!$B$6,IF(D38=informatieblad!$A$7,informatieblad!$B$7,IF(D38=informatieblad!$A$8,informatieblad!$B$8,IF(D38=informatieblad!$A$2,informatieblad!$B$2,IF(D38=informatieblad!$A$3,informatieblad!$B$3,IF(D38=informatieblad!$A$4,informatieblad!$B$4,IF(D38=informatieblad!$A$5,informatieblad!$B$5,"")))))))</f>
        <v/>
      </c>
      <c r="AS39" s="276">
        <f>IF(AQ39=AS37,(4*C39),0)</f>
        <v>0</v>
      </c>
      <c r="AT39" s="276">
        <f>IF(AR39=AS37,(4*C39),0)</f>
        <v>0</v>
      </c>
      <c r="AU39" s="276">
        <f>IF(AQ39=AU37,(4*C39),0)</f>
        <v>0</v>
      </c>
      <c r="AV39" s="274">
        <f>IF(AR39=AU37,(4*C39),0)</f>
        <v>0</v>
      </c>
    </row>
    <row r="40" spans="1:48" ht="5.0999999999999996" customHeight="1" thickBot="1">
      <c r="A40" s="145"/>
      <c r="B40" s="122"/>
      <c r="C40" s="122"/>
      <c r="D40" s="122"/>
      <c r="E40" s="122"/>
      <c r="F40" s="122"/>
      <c r="G40" s="122"/>
      <c r="H40" s="122"/>
      <c r="I40" s="146"/>
    </row>
    <row r="41" spans="1:48" ht="14.25" customHeight="1" thickBot="1">
      <c r="A41" s="445"/>
      <c r="B41" s="96"/>
      <c r="C41" s="96"/>
      <c r="D41" s="96"/>
      <c r="E41" s="167">
        <f>C41</f>
        <v>0</v>
      </c>
      <c r="F41" s="177">
        <f>(B41&gt;0)*$I$10</f>
        <v>0</v>
      </c>
      <c r="G41" s="177">
        <f>(B41&gt;0)*$I$11</f>
        <v>0</v>
      </c>
      <c r="H41" s="177">
        <f>(B41&gt;0)*$I$12</f>
        <v>0</v>
      </c>
      <c r="I41" s="178"/>
      <c r="J41" s="345" t="s">
        <v>20</v>
      </c>
      <c r="K41" s="83"/>
      <c r="L41" s="97" t="s">
        <v>14</v>
      </c>
      <c r="M41" s="98" t="s">
        <v>27</v>
      </c>
      <c r="N41" s="98" t="s">
        <v>28</v>
      </c>
      <c r="O41" s="98" t="s">
        <v>27</v>
      </c>
      <c r="P41" s="98" t="s">
        <v>28</v>
      </c>
      <c r="Q41" s="98" t="s">
        <v>29</v>
      </c>
      <c r="R41" s="66" t="s">
        <v>30</v>
      </c>
      <c r="S41" s="153" t="s">
        <v>31</v>
      </c>
      <c r="T41" s="153"/>
      <c r="U41" s="153"/>
      <c r="V41" s="154" t="s">
        <v>83</v>
      </c>
      <c r="W41" s="100" t="s">
        <v>83</v>
      </c>
      <c r="X41" s="100" t="s">
        <v>83</v>
      </c>
      <c r="Y41" s="100" t="s">
        <v>33</v>
      </c>
      <c r="Z41" s="100" t="s">
        <v>34</v>
      </c>
      <c r="AA41" s="98" t="s">
        <v>32</v>
      </c>
      <c r="AB41" s="98" t="s">
        <v>32</v>
      </c>
      <c r="AC41" s="98" t="s">
        <v>35</v>
      </c>
      <c r="AD41" s="101" t="s">
        <v>36</v>
      </c>
      <c r="AF41" s="97" t="str">
        <f>informatieblad!$A$6</f>
        <v>FL20</v>
      </c>
      <c r="AG41" s="99"/>
      <c r="AH41" s="97" t="str">
        <f>informatieblad!$A$7</f>
        <v>FL30</v>
      </c>
      <c r="AI41" s="66"/>
      <c r="AJ41" s="99" t="str">
        <f>informatieblad!$A$8</f>
        <v>FL40</v>
      </c>
      <c r="AK41" s="66"/>
      <c r="AL41" s="97" t="str">
        <f>informatieblad!$A$5</f>
        <v>none</v>
      </c>
      <c r="AM41" s="264"/>
      <c r="AO41" s="266" t="s">
        <v>37</v>
      </c>
      <c r="AQ41" s="269" t="s">
        <v>38</v>
      </c>
      <c r="AR41" s="272"/>
      <c r="AS41" s="272">
        <f>informatieblad!$B$3</f>
        <v>0</v>
      </c>
      <c r="AT41" s="272">
        <f>informatieblad!$B$3</f>
        <v>0</v>
      </c>
      <c r="AU41" s="272">
        <f>informatieblad!$B$4</f>
        <v>0</v>
      </c>
      <c r="AV41" s="264">
        <f>informatieblad!$B$4</f>
        <v>0</v>
      </c>
    </row>
    <row r="42" spans="1:48" ht="15" customHeight="1">
      <c r="A42" s="467"/>
      <c r="B42" s="479" t="str">
        <f>IF($C43&gt;0,IF(MAX(B41:C41)&lt;informatieblad!$Q$4,informatieblad!$P$3,IF(MAX(B41:C41)&gt;informatieblad!$R$4,informatieblad!$P$5,informatieblad!$P$4)),"")</f>
        <v/>
      </c>
      <c r="C42" s="480"/>
      <c r="D42" s="479" t="str">
        <f>IF($C43&gt;0,IF(MAX(D41:E41)&lt;informatieblad!$Q$4,informatieblad!$P$3,IF(MAX(D41:E41)&gt;informatieblad!$R$4,informatieblad!$P$5,informatieblad!$P$4)),"")</f>
        <v/>
      </c>
      <c r="E42" s="480"/>
      <c r="F42" s="173" t="str">
        <f>A41&amp;"-"&amp;informatieblad!$B$14&amp;"-"&amp;B41&amp;"-"&amp;C41&amp;"-"&amp;D41&amp;"-"&amp;E41&amp;"-"&amp;F41&amp;"-"&amp;G41&amp;"-"&amp;H41&amp;"-"&amp;I41&amp;"-"&amp;B42&amp;"-"&amp;D42&amp;"-"&amp;F43</f>
        <v>-RctB----0-0-0-0----Options None</v>
      </c>
      <c r="G42" s="174"/>
      <c r="H42" s="179"/>
      <c r="I42" s="175"/>
      <c r="J42" s="83"/>
      <c r="K42" s="83"/>
      <c r="L42" s="103">
        <f>A41</f>
        <v>0</v>
      </c>
      <c r="M42" s="104" t="s">
        <v>39</v>
      </c>
      <c r="N42" s="104" t="s">
        <v>39</v>
      </c>
      <c r="O42" s="104" t="s">
        <v>40</v>
      </c>
      <c r="P42" s="104" t="s">
        <v>40</v>
      </c>
      <c r="Q42" s="104" t="s">
        <v>40</v>
      </c>
      <c r="R42" s="105"/>
      <c r="S42" s="155" t="s">
        <v>27</v>
      </c>
      <c r="T42" s="155" t="s">
        <v>40</v>
      </c>
      <c r="U42" s="155" t="s">
        <v>41</v>
      </c>
      <c r="V42" s="156" t="s">
        <v>105</v>
      </c>
      <c r="W42" s="104" t="s">
        <v>106</v>
      </c>
      <c r="X42" s="107" t="s">
        <v>87</v>
      </c>
      <c r="Y42" s="107"/>
      <c r="Z42" s="107"/>
      <c r="AA42" s="104" t="s">
        <v>40</v>
      </c>
      <c r="AB42" s="104" t="s">
        <v>41</v>
      </c>
      <c r="AC42" s="108"/>
      <c r="AD42" s="109"/>
      <c r="AF42" s="262" t="str">
        <f>informatieblad!$A$2</f>
        <v>FL20 loose</v>
      </c>
      <c r="AG42" s="263"/>
      <c r="AH42" s="262" t="str">
        <f>informatieblad!$A$3</f>
        <v>FL30 loose</v>
      </c>
      <c r="AI42" s="105"/>
      <c r="AJ42" s="263" t="str">
        <f>informatieblad!$A$4</f>
        <v>FL40 loose</v>
      </c>
      <c r="AK42" s="105"/>
      <c r="AL42" s="265"/>
      <c r="AM42" s="105"/>
      <c r="AN42" s="83" t="str">
        <f>'UC mounting materials '!$B$10</f>
        <v>Rail 30x15</v>
      </c>
      <c r="AO42" s="327">
        <f>IF(Y43&lt;1000,(Y43+100),0)*C43</f>
        <v>0</v>
      </c>
      <c r="AQ42" s="265" t="s">
        <v>47</v>
      </c>
      <c r="AR42" s="106" t="s">
        <v>48</v>
      </c>
      <c r="AS42" s="83" t="s">
        <v>23</v>
      </c>
      <c r="AT42" s="83" t="s">
        <v>23</v>
      </c>
      <c r="AU42" s="83" t="s">
        <v>23</v>
      </c>
      <c r="AV42" s="273" t="s">
        <v>23</v>
      </c>
    </row>
    <row r="43" spans="1:48" ht="15.75" customHeight="1" thickBot="1">
      <c r="A43" s="468"/>
      <c r="B43" s="92" t="s">
        <v>23</v>
      </c>
      <c r="C43" s="110"/>
      <c r="D43" s="94">
        <f>C43*N43</f>
        <v>0</v>
      </c>
      <c r="E43" s="141" t="s">
        <v>24</v>
      </c>
      <c r="F43" s="451" t="s">
        <v>25</v>
      </c>
      <c r="G43" s="452"/>
      <c r="H43" s="452"/>
      <c r="I43" s="453"/>
      <c r="J43" s="176"/>
      <c r="K43" s="176"/>
      <c r="L43" s="111"/>
      <c r="M43" s="112">
        <f>(((((2*(B41+C41))*(D41+G41+F41))+((2*(D41+E41))*(B41+H41+F41)))/90)*I41)/1000000</f>
        <v>0</v>
      </c>
      <c r="N43" s="112">
        <f>((IF(M43&lt;=informatieblad!$I$14,informatieblad!$I$14,IF(M43&gt;=informatieblad!$I$14,M43))))</f>
        <v>0.5</v>
      </c>
      <c r="O43" s="158">
        <f>(ROUND((((2*(X43+C41))*(((2*PI()*(X43+F41))*(I41/360))+H41+G41))/1000000),2))</f>
        <v>0</v>
      </c>
      <c r="P43" s="158">
        <f>((IF(O43&lt;=informatieblad!$H$14,informatieblad!$H$14,IF(O43&gt;=informatieblad!$H$14,O43))))</f>
        <v>0</v>
      </c>
      <c r="Q43" s="113">
        <f>((P43*AA43)+(P43*T43))*C43</f>
        <v>0</v>
      </c>
      <c r="R43" s="114">
        <f>((N43*AB43)+(N43*U43))*C43</f>
        <v>0</v>
      </c>
      <c r="S43" s="115" t="str">
        <f>F43</f>
        <v>Options None</v>
      </c>
      <c r="T43" s="115">
        <f>VLOOKUP(F43,informatieblad!$A$37:$D$41,2,FALSE)</f>
        <v>0</v>
      </c>
      <c r="U43" s="115">
        <f>VLOOKUP(F43,informatieblad!$A$37:$D$41,4,FALSE)</f>
        <v>0</v>
      </c>
      <c r="V43" s="180">
        <f>(MAX(B41,C41))</f>
        <v>0</v>
      </c>
      <c r="W43" s="119">
        <f>(MAX(D41,E41))</f>
        <v>0</v>
      </c>
      <c r="X43" s="119">
        <f>(MAX(B41,D41))</f>
        <v>0</v>
      </c>
      <c r="Y43" s="119">
        <f>(MAX(B41:E41))</f>
        <v>0</v>
      </c>
      <c r="Z43" s="119">
        <f>LOOKUP(Y43,informatieblad!$C$27:$C$32,informatieblad!$A$27:$A$32)</f>
        <v>0.5</v>
      </c>
      <c r="AA43" s="118">
        <f>VLOOKUP(Z43,informatieblad!$A$27:$M$32,6,FALSE)</f>
        <v>0</v>
      </c>
      <c r="AB43" s="118">
        <f>VLOOKUP(Z43,informatieblad!$A$27:$M$32,8,FALSE)</f>
        <v>45.1248</v>
      </c>
      <c r="AC43" s="120">
        <f>VLOOKUP(Z43,informatieblad!$A$27:$M$32,13,FALSE)</f>
        <v>4</v>
      </c>
      <c r="AD43" s="121">
        <f>ROUND((AC43*M43),1)</f>
        <v>0</v>
      </c>
      <c r="AF43" s="281">
        <f>IF(B42=AF41,(2*B41)+(2*C41),IF(B42=AF42,(2*B41)+(2*C41),0))*C43</f>
        <v>0</v>
      </c>
      <c r="AG43" s="261">
        <f>IF(D42=AF41,(2*D41)+(2*E41),IF(D42=AF42,(2*D41)+(2*E41),0))*C43</f>
        <v>0</v>
      </c>
      <c r="AH43" s="111">
        <f>IF(B42=AH41,(2*B41)+(2*C41),IF(B42=AH42,(2*B41)+(2*C41),0))*C43</f>
        <v>0</v>
      </c>
      <c r="AI43" s="260">
        <f>IF(D42=AH41,(2*D41)+(2*E41),IF(D42=AH42,(2*D41)+(2*E41),0))*C43</f>
        <v>0</v>
      </c>
      <c r="AJ43" s="261">
        <f>IF(B42=AJ41,(2*B41)+(2*C41),IF(B42=AJ42,(2*B41)+(2*C41),0))*C43</f>
        <v>0</v>
      </c>
      <c r="AK43" s="260">
        <f>IF(D42=AJ41,(2*D41)+(2*E41),IF(D42=AJ42,(2*D41)+(2*E41),0))*C43</f>
        <v>0</v>
      </c>
      <c r="AL43" s="111">
        <f>IF(B42=AL41,(2*B41)+(2*C41),0)*C43</f>
        <v>0</v>
      </c>
      <c r="AM43" s="260">
        <f>IF(D42=AL41,(2*D41)+(2*E41),0)*C43</f>
        <v>0</v>
      </c>
      <c r="AN43" s="83" t="str">
        <f>'UC mounting materials '!$B$11</f>
        <v>Rail 41x41</v>
      </c>
      <c r="AO43" s="268">
        <f>IF(Y43&gt;999,(Y43+100),0)*C43</f>
        <v>0</v>
      </c>
      <c r="AQ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AR43" s="275" t="str">
        <f>IF(D42=informatieblad!$A$6,informatieblad!$B$6,IF(D42=informatieblad!$A$7,informatieblad!$B$7,IF(D42=informatieblad!$A$8,informatieblad!$B$8,IF(D42=informatieblad!$A$2,informatieblad!$B$2,IF(D42=informatieblad!$A$3,informatieblad!$B$3,IF(D42=informatieblad!$A$4,informatieblad!$B$4,IF(D42=informatieblad!$A$5,informatieblad!$B$5,"")))))))</f>
        <v/>
      </c>
      <c r="AS43" s="276">
        <f>IF(AQ43=AS41,(4*C43),0)</f>
        <v>0</v>
      </c>
      <c r="AT43" s="276">
        <f>IF(AR43=AS41,(4*C43),0)</f>
        <v>0</v>
      </c>
      <c r="AU43" s="276">
        <f>IF(AQ43=AU41,(4*C43),0)</f>
        <v>0</v>
      </c>
      <c r="AV43" s="274">
        <f>IF(AR43=AU41,(4*C43),0)</f>
        <v>0</v>
      </c>
    </row>
    <row r="44" spans="1:48" ht="5.0999999999999996" customHeight="1" thickBot="1">
      <c r="A44" s="145"/>
      <c r="B44" s="122"/>
      <c r="C44" s="122"/>
      <c r="D44" s="122"/>
      <c r="E44" s="122"/>
      <c r="F44" s="122"/>
      <c r="G44" s="122"/>
      <c r="H44" s="122"/>
      <c r="I44" s="146"/>
    </row>
    <row r="45" spans="1:48" ht="14.25" customHeight="1" thickBot="1">
      <c r="A45" s="445"/>
      <c r="B45" s="96"/>
      <c r="C45" s="96"/>
      <c r="D45" s="96"/>
      <c r="E45" s="167">
        <f>C45</f>
        <v>0</v>
      </c>
      <c r="F45" s="177">
        <f>(B45&gt;0)*$I$10</f>
        <v>0</v>
      </c>
      <c r="G45" s="177">
        <f>(B45&gt;0)*$I$11</f>
        <v>0</v>
      </c>
      <c r="H45" s="177">
        <f>(B45&gt;0)*$I$12</f>
        <v>0</v>
      </c>
      <c r="I45" s="178"/>
      <c r="J45" s="345" t="s">
        <v>20</v>
      </c>
      <c r="K45" s="83"/>
      <c r="L45" s="97" t="s">
        <v>14</v>
      </c>
      <c r="M45" s="98" t="s">
        <v>27</v>
      </c>
      <c r="N45" s="98" t="s">
        <v>28</v>
      </c>
      <c r="O45" s="98" t="s">
        <v>27</v>
      </c>
      <c r="P45" s="98" t="s">
        <v>28</v>
      </c>
      <c r="Q45" s="98" t="s">
        <v>29</v>
      </c>
      <c r="R45" s="66" t="s">
        <v>30</v>
      </c>
      <c r="S45" s="153" t="s">
        <v>31</v>
      </c>
      <c r="T45" s="153"/>
      <c r="U45" s="153"/>
      <c r="V45" s="154" t="s">
        <v>83</v>
      </c>
      <c r="W45" s="100" t="s">
        <v>83</v>
      </c>
      <c r="X45" s="100" t="s">
        <v>83</v>
      </c>
      <c r="Y45" s="100" t="s">
        <v>33</v>
      </c>
      <c r="Z45" s="100" t="s">
        <v>34</v>
      </c>
      <c r="AA45" s="98" t="s">
        <v>32</v>
      </c>
      <c r="AB45" s="98" t="s">
        <v>32</v>
      </c>
      <c r="AC45" s="98" t="s">
        <v>35</v>
      </c>
      <c r="AD45" s="101" t="s">
        <v>36</v>
      </c>
      <c r="AF45" s="97" t="str">
        <f>informatieblad!$A$6</f>
        <v>FL20</v>
      </c>
      <c r="AG45" s="99"/>
      <c r="AH45" s="97" t="str">
        <f>informatieblad!$A$7</f>
        <v>FL30</v>
      </c>
      <c r="AI45" s="66"/>
      <c r="AJ45" s="99" t="str">
        <f>informatieblad!$A$8</f>
        <v>FL40</v>
      </c>
      <c r="AK45" s="66"/>
      <c r="AL45" s="97" t="str">
        <f>informatieblad!$A$5</f>
        <v>none</v>
      </c>
      <c r="AM45" s="264"/>
      <c r="AO45" s="266" t="s">
        <v>37</v>
      </c>
      <c r="AQ45" s="269" t="s">
        <v>38</v>
      </c>
      <c r="AR45" s="272"/>
      <c r="AS45" s="272">
        <f>informatieblad!$B$3</f>
        <v>0</v>
      </c>
      <c r="AT45" s="272">
        <f>informatieblad!$B$3</f>
        <v>0</v>
      </c>
      <c r="AU45" s="272">
        <f>informatieblad!$B$4</f>
        <v>0</v>
      </c>
      <c r="AV45" s="264">
        <f>informatieblad!$B$4</f>
        <v>0</v>
      </c>
    </row>
    <row r="46" spans="1:48" ht="15" customHeight="1">
      <c r="A46" s="467"/>
      <c r="B46" s="479" t="str">
        <f>IF($C47&gt;0,IF(MAX(B45:C45)&lt;informatieblad!$Q$4,informatieblad!$P$3,IF(MAX(B45:C45)&gt;informatieblad!$R$4,informatieblad!$P$5,informatieblad!$P$4)),"")</f>
        <v/>
      </c>
      <c r="C46" s="480"/>
      <c r="D46" s="479" t="str">
        <f>IF($C47&gt;0,IF(MAX(D45:E45)&lt;informatieblad!$Q$4,informatieblad!$P$3,IF(MAX(D45:E45)&gt;informatieblad!$R$4,informatieblad!$P$5,informatieblad!$P$4)),"")</f>
        <v/>
      </c>
      <c r="E46" s="480"/>
      <c r="F46" s="173" t="str">
        <f>A45&amp;"-"&amp;informatieblad!$B$14&amp;"-"&amp;B45&amp;"-"&amp;C45&amp;"-"&amp;D45&amp;"-"&amp;E45&amp;"-"&amp;F45&amp;"-"&amp;G45&amp;"-"&amp;H45&amp;"-"&amp;I45&amp;"-"&amp;B46&amp;"-"&amp;D46&amp;"-"&amp;F47</f>
        <v>-RctB----0-0-0-0----Options None</v>
      </c>
      <c r="G46" s="174"/>
      <c r="H46" s="179"/>
      <c r="I46" s="175"/>
      <c r="J46" s="83"/>
      <c r="K46" s="83"/>
      <c r="L46" s="103">
        <f>A45</f>
        <v>0</v>
      </c>
      <c r="M46" s="104" t="s">
        <v>39</v>
      </c>
      <c r="N46" s="104" t="s">
        <v>39</v>
      </c>
      <c r="O46" s="104" t="s">
        <v>40</v>
      </c>
      <c r="P46" s="104" t="s">
        <v>40</v>
      </c>
      <c r="Q46" s="104" t="s">
        <v>40</v>
      </c>
      <c r="R46" s="105"/>
      <c r="S46" s="155" t="s">
        <v>27</v>
      </c>
      <c r="T46" s="155" t="s">
        <v>40</v>
      </c>
      <c r="U46" s="155" t="s">
        <v>41</v>
      </c>
      <c r="V46" s="156" t="s">
        <v>105</v>
      </c>
      <c r="W46" s="104" t="s">
        <v>106</v>
      </c>
      <c r="X46" s="107" t="s">
        <v>87</v>
      </c>
      <c r="Y46" s="107"/>
      <c r="Z46" s="107"/>
      <c r="AA46" s="104" t="s">
        <v>40</v>
      </c>
      <c r="AB46" s="104" t="s">
        <v>41</v>
      </c>
      <c r="AC46" s="108"/>
      <c r="AD46" s="109"/>
      <c r="AF46" s="262" t="str">
        <f>informatieblad!$A$2</f>
        <v>FL20 loose</v>
      </c>
      <c r="AG46" s="263"/>
      <c r="AH46" s="262" t="str">
        <f>informatieblad!$A$3</f>
        <v>FL30 loose</v>
      </c>
      <c r="AI46" s="105"/>
      <c r="AJ46" s="263" t="str">
        <f>informatieblad!$A$4</f>
        <v>FL40 loose</v>
      </c>
      <c r="AK46" s="105"/>
      <c r="AL46" s="265"/>
      <c r="AM46" s="105"/>
      <c r="AN46" s="83" t="str">
        <f>'UC mounting materials '!$B$10</f>
        <v>Rail 30x15</v>
      </c>
      <c r="AO46" s="327">
        <f>IF(Y47&lt;1000,(Y47+100),0)*C47</f>
        <v>0</v>
      </c>
      <c r="AQ46" s="265" t="s">
        <v>47</v>
      </c>
      <c r="AR46" s="106" t="s">
        <v>48</v>
      </c>
      <c r="AS46" s="83" t="s">
        <v>23</v>
      </c>
      <c r="AT46" s="83" t="s">
        <v>23</v>
      </c>
      <c r="AU46" s="83" t="s">
        <v>23</v>
      </c>
      <c r="AV46" s="273" t="s">
        <v>23</v>
      </c>
    </row>
    <row r="47" spans="1:48" ht="15.75" customHeight="1" thickBot="1">
      <c r="A47" s="468"/>
      <c r="B47" s="92" t="s">
        <v>23</v>
      </c>
      <c r="C47" s="110"/>
      <c r="D47" s="94">
        <f>C47*N47</f>
        <v>0</v>
      </c>
      <c r="E47" s="141" t="s">
        <v>24</v>
      </c>
      <c r="F47" s="451" t="s">
        <v>25</v>
      </c>
      <c r="G47" s="452"/>
      <c r="H47" s="452"/>
      <c r="I47" s="453"/>
      <c r="J47" s="176"/>
      <c r="K47" s="176"/>
      <c r="L47" s="111"/>
      <c r="M47" s="112">
        <f>(((((2*(B45+C45))*(D45+G45+F45))+((2*(D45+E45))*(B45+H45+F45)))/90)*I45)/1000000</f>
        <v>0</v>
      </c>
      <c r="N47" s="112">
        <f>((IF(M47&lt;=informatieblad!$I$14,informatieblad!$I$14,IF(M47&gt;=informatieblad!$I$14,M47))))</f>
        <v>0.5</v>
      </c>
      <c r="O47" s="158">
        <f>(ROUND((((2*(X47+C45))*(((2*PI()*(X47+F45))*(I45/360))+H45+G45))/1000000),2))</f>
        <v>0</v>
      </c>
      <c r="P47" s="158">
        <f>((IF(O47&lt;=informatieblad!$H$14,informatieblad!$H$14,IF(O47&gt;=informatieblad!$H$14,O47))))</f>
        <v>0</v>
      </c>
      <c r="Q47" s="113">
        <f>((P47*AA47)+(P47*T47))*C47</f>
        <v>0</v>
      </c>
      <c r="R47" s="114">
        <f>((N47*AB47)+(N47*U47))*C47</f>
        <v>0</v>
      </c>
      <c r="S47" s="115" t="str">
        <f>F47</f>
        <v>Options None</v>
      </c>
      <c r="T47" s="115">
        <f>VLOOKUP(F47,informatieblad!$A$37:$D$41,2,FALSE)</f>
        <v>0</v>
      </c>
      <c r="U47" s="115">
        <f>VLOOKUP(F47,informatieblad!$A$37:$D$41,4,FALSE)</f>
        <v>0</v>
      </c>
      <c r="V47" s="180">
        <f>(MAX(B45,C45))</f>
        <v>0</v>
      </c>
      <c r="W47" s="119">
        <f>(MAX(D45,E45))</f>
        <v>0</v>
      </c>
      <c r="X47" s="119">
        <f>(MAX(B45,D45))</f>
        <v>0</v>
      </c>
      <c r="Y47" s="119">
        <f>(MAX(B45:E45))</f>
        <v>0</v>
      </c>
      <c r="Z47" s="119">
        <f>LOOKUP(Y47,informatieblad!$C$27:$C$32,informatieblad!$A$27:$A$32)</f>
        <v>0.5</v>
      </c>
      <c r="AA47" s="118">
        <f>VLOOKUP(Z47,informatieblad!$A$27:$M$32,6,FALSE)</f>
        <v>0</v>
      </c>
      <c r="AB47" s="118">
        <f>VLOOKUP(Z47,informatieblad!$A$27:$M$32,8,FALSE)</f>
        <v>45.1248</v>
      </c>
      <c r="AC47" s="120">
        <f>VLOOKUP(Z47,informatieblad!$A$27:$M$32,13,FALSE)</f>
        <v>4</v>
      </c>
      <c r="AD47" s="121">
        <f>ROUND((AC47*M47),1)</f>
        <v>0</v>
      </c>
      <c r="AF47" s="281">
        <f>IF(B46=AF45,(2*B45)+(2*C45),IF(B46=AF46,(2*B45)+(2*C45),0))*C47</f>
        <v>0</v>
      </c>
      <c r="AG47" s="261">
        <f>IF(D46=AF45,(2*D45)+(2*E45),IF(D46=AF46,(2*D45)+(2*E45),0))*C47</f>
        <v>0</v>
      </c>
      <c r="AH47" s="111">
        <f>IF(B46=AH45,(2*B45)+(2*C45),IF(B46=AH46,(2*B45)+(2*C45),0))*C47</f>
        <v>0</v>
      </c>
      <c r="AI47" s="260">
        <f>IF(D46=AH45,(2*D45)+(2*E45),IF(D46=AH46,(2*D45)+(2*E45),0))*C47</f>
        <v>0</v>
      </c>
      <c r="AJ47" s="261">
        <f>IF(B46=AJ45,(2*B45)+(2*C45),IF(B46=AJ46,(2*B45)+(2*C45),0))*C47</f>
        <v>0</v>
      </c>
      <c r="AK47" s="260">
        <f>IF(D46=AJ45,(2*D45)+(2*E45),IF(D46=AJ46,(2*D45)+(2*E45),0))*C47</f>
        <v>0</v>
      </c>
      <c r="AL47" s="111">
        <f>IF(B46=AL45,(2*B45)+(2*C45),0)*C47</f>
        <v>0</v>
      </c>
      <c r="AM47" s="260">
        <f>IF(D46=AL45,(2*D45)+(2*E45),0)*C47</f>
        <v>0</v>
      </c>
      <c r="AN47" s="83" t="str">
        <f>'UC mounting materials '!$B$11</f>
        <v>Rail 41x41</v>
      </c>
      <c r="AO47" s="268">
        <f>IF(Y47&gt;999,(Y47+100),0)*C47</f>
        <v>0</v>
      </c>
      <c r="AQ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AR47" s="275" t="str">
        <f>IF(D46=informatieblad!$A$6,informatieblad!$B$6,IF(D46=informatieblad!$A$7,informatieblad!$B$7,IF(D46=informatieblad!$A$8,informatieblad!$B$8,IF(D46=informatieblad!$A$2,informatieblad!$B$2,IF(D46=informatieblad!$A$3,informatieblad!$B$3,IF(D46=informatieblad!$A$4,informatieblad!$B$4,IF(D46=informatieblad!$A$5,informatieblad!$B$5,"")))))))</f>
        <v/>
      </c>
      <c r="AS47" s="276">
        <f>IF(AQ47=AS45,(4*C47),0)</f>
        <v>0</v>
      </c>
      <c r="AT47" s="276">
        <f>IF(AR47=AS45,(4*C47),0)</f>
        <v>0</v>
      </c>
      <c r="AU47" s="276">
        <f>IF(AQ47=AU45,(4*C47),0)</f>
        <v>0</v>
      </c>
      <c r="AV47" s="274">
        <f>IF(AR47=AU45,(4*C47),0)</f>
        <v>0</v>
      </c>
    </row>
    <row r="48" spans="1:48" ht="5.0999999999999996" customHeight="1" thickBot="1">
      <c r="A48" s="145"/>
      <c r="B48" s="122"/>
      <c r="C48" s="122"/>
      <c r="D48" s="122"/>
      <c r="E48" s="122"/>
      <c r="F48" s="122"/>
      <c r="G48" s="122"/>
      <c r="H48" s="122"/>
      <c r="I48" s="146"/>
    </row>
    <row r="49" spans="1:48" ht="14.25" customHeight="1" thickBot="1">
      <c r="A49" s="445"/>
      <c r="B49" s="96"/>
      <c r="C49" s="96"/>
      <c r="D49" s="96"/>
      <c r="E49" s="167">
        <f>C49</f>
        <v>0</v>
      </c>
      <c r="F49" s="177">
        <f>(B49&gt;0)*$I$10</f>
        <v>0</v>
      </c>
      <c r="G49" s="177">
        <f>(B49&gt;0)*$I$11</f>
        <v>0</v>
      </c>
      <c r="H49" s="177">
        <f>(B49&gt;0)*$I$12</f>
        <v>0</v>
      </c>
      <c r="I49" s="178"/>
      <c r="J49" s="345" t="s">
        <v>20</v>
      </c>
      <c r="K49" s="83"/>
      <c r="L49" s="97" t="s">
        <v>14</v>
      </c>
      <c r="M49" s="98" t="s">
        <v>27</v>
      </c>
      <c r="N49" s="98" t="s">
        <v>28</v>
      </c>
      <c r="O49" s="98" t="s">
        <v>27</v>
      </c>
      <c r="P49" s="98" t="s">
        <v>28</v>
      </c>
      <c r="Q49" s="98" t="s">
        <v>29</v>
      </c>
      <c r="R49" s="66" t="s">
        <v>30</v>
      </c>
      <c r="S49" s="153" t="s">
        <v>31</v>
      </c>
      <c r="T49" s="153"/>
      <c r="U49" s="153"/>
      <c r="V49" s="154" t="s">
        <v>83</v>
      </c>
      <c r="W49" s="100" t="s">
        <v>83</v>
      </c>
      <c r="X49" s="100" t="s">
        <v>83</v>
      </c>
      <c r="Y49" s="100" t="s">
        <v>33</v>
      </c>
      <c r="Z49" s="100" t="s">
        <v>34</v>
      </c>
      <c r="AA49" s="98" t="s">
        <v>32</v>
      </c>
      <c r="AB49" s="98" t="s">
        <v>32</v>
      </c>
      <c r="AC49" s="98" t="s">
        <v>35</v>
      </c>
      <c r="AD49" s="101" t="s">
        <v>36</v>
      </c>
      <c r="AF49" s="97" t="str">
        <f>informatieblad!$A$6</f>
        <v>FL20</v>
      </c>
      <c r="AG49" s="99"/>
      <c r="AH49" s="97" t="str">
        <f>informatieblad!$A$7</f>
        <v>FL30</v>
      </c>
      <c r="AI49" s="66"/>
      <c r="AJ49" s="99" t="str">
        <f>informatieblad!$A$8</f>
        <v>FL40</v>
      </c>
      <c r="AK49" s="66"/>
      <c r="AL49" s="97" t="str">
        <f>informatieblad!$A$5</f>
        <v>none</v>
      </c>
      <c r="AM49" s="264"/>
      <c r="AO49" s="266" t="s">
        <v>37</v>
      </c>
      <c r="AQ49" s="269" t="s">
        <v>38</v>
      </c>
      <c r="AR49" s="272"/>
      <c r="AS49" s="272">
        <f>informatieblad!$B$3</f>
        <v>0</v>
      </c>
      <c r="AT49" s="272">
        <f>informatieblad!$B$3</f>
        <v>0</v>
      </c>
      <c r="AU49" s="272">
        <f>informatieblad!$B$4</f>
        <v>0</v>
      </c>
      <c r="AV49" s="264">
        <f>informatieblad!$B$4</f>
        <v>0</v>
      </c>
    </row>
    <row r="50" spans="1:48" ht="15" customHeight="1">
      <c r="A50" s="467"/>
      <c r="B50" s="479" t="str">
        <f>IF($C51&gt;0,IF(MAX(B49:C49)&lt;informatieblad!$Q$4,informatieblad!$P$3,IF(MAX(B49:C49)&gt;informatieblad!$R$4,informatieblad!$P$5,informatieblad!$P$4)),"")</f>
        <v/>
      </c>
      <c r="C50" s="480"/>
      <c r="D50" s="479" t="str">
        <f>IF($C51&gt;0,IF(MAX(D49:E49)&lt;informatieblad!$Q$4,informatieblad!$P$3,IF(MAX(D49:E49)&gt;informatieblad!$R$4,informatieblad!$P$5,informatieblad!$P$4)),"")</f>
        <v/>
      </c>
      <c r="E50" s="480"/>
      <c r="F50" s="173" t="str">
        <f>A49&amp;"-"&amp;informatieblad!$B$14&amp;"-"&amp;B49&amp;"-"&amp;C49&amp;"-"&amp;D49&amp;"-"&amp;E49&amp;"-"&amp;F49&amp;"-"&amp;G49&amp;"-"&amp;H49&amp;"-"&amp;I49&amp;"-"&amp;B50&amp;"-"&amp;D50&amp;"-"&amp;F51</f>
        <v>-RctB----0-0-0-0----Options None</v>
      </c>
      <c r="G50" s="174"/>
      <c r="H50" s="179"/>
      <c r="I50" s="175"/>
      <c r="J50" s="83"/>
      <c r="K50" s="83"/>
      <c r="L50" s="103">
        <f>A49</f>
        <v>0</v>
      </c>
      <c r="M50" s="104" t="s">
        <v>39</v>
      </c>
      <c r="N50" s="104" t="s">
        <v>39</v>
      </c>
      <c r="O50" s="104" t="s">
        <v>40</v>
      </c>
      <c r="P50" s="104" t="s">
        <v>40</v>
      </c>
      <c r="Q50" s="104" t="s">
        <v>40</v>
      </c>
      <c r="R50" s="105"/>
      <c r="S50" s="155" t="s">
        <v>27</v>
      </c>
      <c r="T50" s="155" t="s">
        <v>40</v>
      </c>
      <c r="U50" s="155" t="s">
        <v>41</v>
      </c>
      <c r="V50" s="156" t="s">
        <v>105</v>
      </c>
      <c r="W50" s="104" t="s">
        <v>106</v>
      </c>
      <c r="X50" s="107" t="s">
        <v>87</v>
      </c>
      <c r="Y50" s="107"/>
      <c r="Z50" s="107"/>
      <c r="AA50" s="104" t="s">
        <v>40</v>
      </c>
      <c r="AB50" s="104" t="s">
        <v>41</v>
      </c>
      <c r="AC50" s="108"/>
      <c r="AD50" s="109"/>
      <c r="AF50" s="262" t="str">
        <f>informatieblad!$A$2</f>
        <v>FL20 loose</v>
      </c>
      <c r="AG50" s="263"/>
      <c r="AH50" s="262" t="str">
        <f>informatieblad!$A$3</f>
        <v>FL30 loose</v>
      </c>
      <c r="AI50" s="105"/>
      <c r="AJ50" s="263" t="str">
        <f>informatieblad!$A$4</f>
        <v>FL40 loose</v>
      </c>
      <c r="AK50" s="105"/>
      <c r="AL50" s="265"/>
      <c r="AM50" s="105"/>
      <c r="AN50" s="83" t="str">
        <f>'UC mounting materials '!$B$10</f>
        <v>Rail 30x15</v>
      </c>
      <c r="AO50" s="327">
        <f>IF(Y51&lt;1000,(Y51+100),0)*C51</f>
        <v>0</v>
      </c>
      <c r="AQ50" s="265" t="s">
        <v>47</v>
      </c>
      <c r="AR50" s="106" t="s">
        <v>48</v>
      </c>
      <c r="AS50" s="83" t="s">
        <v>23</v>
      </c>
      <c r="AT50" s="83" t="s">
        <v>23</v>
      </c>
      <c r="AU50" s="83" t="s">
        <v>23</v>
      </c>
      <c r="AV50" s="273" t="s">
        <v>23</v>
      </c>
    </row>
    <row r="51" spans="1:48" ht="15.75" customHeight="1" thickBot="1">
      <c r="A51" s="468"/>
      <c r="B51" s="92" t="s">
        <v>23</v>
      </c>
      <c r="C51" s="110"/>
      <c r="D51" s="94">
        <f>C51*N51</f>
        <v>0</v>
      </c>
      <c r="E51" s="141" t="s">
        <v>24</v>
      </c>
      <c r="F51" s="451" t="s">
        <v>25</v>
      </c>
      <c r="G51" s="452"/>
      <c r="H51" s="452"/>
      <c r="I51" s="453"/>
      <c r="J51" s="176"/>
      <c r="K51" s="176"/>
      <c r="L51" s="111"/>
      <c r="M51" s="112">
        <f>(((((2*(B49+C49))*(D49+G49+F49))+((2*(D49+E49))*(B49+H49+F49)))/90)*I49)/1000000</f>
        <v>0</v>
      </c>
      <c r="N51" s="112">
        <f>((IF(M51&lt;=informatieblad!$I$14,informatieblad!$I$14,IF(M51&gt;=informatieblad!$I$14,M51))))</f>
        <v>0.5</v>
      </c>
      <c r="O51" s="158">
        <f>(ROUND((((2*(X51+C49))*(((2*PI()*(X51+F49))*(I49/360))+H49+G49))/1000000),2))</f>
        <v>0</v>
      </c>
      <c r="P51" s="158">
        <f>((IF(O51&lt;=informatieblad!$H$14,informatieblad!$H$14,IF(O51&gt;=informatieblad!$H$14,O51))))</f>
        <v>0</v>
      </c>
      <c r="Q51" s="113">
        <f>((P51*AA51)+(P51*T51))*C51</f>
        <v>0</v>
      </c>
      <c r="R51" s="114">
        <f>((N51*AB51)+(N51*U51))*C51</f>
        <v>0</v>
      </c>
      <c r="S51" s="115" t="str">
        <f>F51</f>
        <v>Options None</v>
      </c>
      <c r="T51" s="115">
        <f>VLOOKUP(F51,informatieblad!$A$37:$D$41,2,FALSE)</f>
        <v>0</v>
      </c>
      <c r="U51" s="115">
        <f>VLOOKUP(F51,informatieblad!$A$37:$D$41,4,FALSE)</f>
        <v>0</v>
      </c>
      <c r="V51" s="180">
        <f>(MAX(B49,C49))</f>
        <v>0</v>
      </c>
      <c r="W51" s="119">
        <f>(MAX(D49,E49))</f>
        <v>0</v>
      </c>
      <c r="X51" s="119">
        <f>(MAX(B49,D49))</f>
        <v>0</v>
      </c>
      <c r="Y51" s="119">
        <f>(MAX(B49:E49))</f>
        <v>0</v>
      </c>
      <c r="Z51" s="119">
        <f>LOOKUP(Y51,informatieblad!$C$27:$C$32,informatieblad!$A$27:$A$32)</f>
        <v>0.5</v>
      </c>
      <c r="AA51" s="118">
        <f>VLOOKUP(Z51,informatieblad!$A$27:$M$32,6,FALSE)</f>
        <v>0</v>
      </c>
      <c r="AB51" s="118">
        <f>VLOOKUP(Z51,informatieblad!$A$27:$M$32,8,FALSE)</f>
        <v>45.1248</v>
      </c>
      <c r="AC51" s="120">
        <f>VLOOKUP(Z51,informatieblad!$A$27:$M$32,13,FALSE)</f>
        <v>4</v>
      </c>
      <c r="AD51" s="121">
        <f>ROUND((AC51*M51),1)</f>
        <v>0</v>
      </c>
      <c r="AF51" s="281">
        <f>IF(B50=AF49,(2*B49)+(2*C49),IF(B50=AF50,(2*B49)+(2*C49),0))*C51</f>
        <v>0</v>
      </c>
      <c r="AG51" s="261">
        <f>IF(D50=AF49,(2*D49)+(2*E49),IF(D50=AF50,(2*D49)+(2*E49),0))*C51</f>
        <v>0</v>
      </c>
      <c r="AH51" s="111">
        <f>IF(B50=AH49,(2*B49)+(2*C49),IF(B50=AH50,(2*B49)+(2*C49),0))*C51</f>
        <v>0</v>
      </c>
      <c r="AI51" s="260">
        <f>IF(D50=AH49,(2*D49)+(2*E49),IF(D50=AH50,(2*D49)+(2*E49),0))*C51</f>
        <v>0</v>
      </c>
      <c r="AJ51" s="261">
        <f>IF(B50=AJ49,(2*B49)+(2*C49),IF(B50=AJ50,(2*B49)+(2*C49),0))*C51</f>
        <v>0</v>
      </c>
      <c r="AK51" s="260">
        <f>IF(D50=AJ49,(2*D49)+(2*E49),IF(D50=AJ50,(2*D49)+(2*E49),0))*C51</f>
        <v>0</v>
      </c>
      <c r="AL51" s="111">
        <f>IF(B50=AL49,(2*B49)+(2*C49),0)*C51</f>
        <v>0</v>
      </c>
      <c r="AM51" s="260">
        <f>IF(D50=AL49,(2*D49)+(2*E49),0)*C51</f>
        <v>0</v>
      </c>
      <c r="AN51" s="83" t="str">
        <f>'UC mounting materials '!$B$11</f>
        <v>Rail 41x41</v>
      </c>
      <c r="AO51" s="268">
        <f>IF(Y51&gt;999,(Y51+100),0)*C51</f>
        <v>0</v>
      </c>
      <c r="AQ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AR51" s="275" t="str">
        <f>IF(D50=informatieblad!$A$6,informatieblad!$B$6,IF(D50=informatieblad!$A$7,informatieblad!$B$7,IF(D50=informatieblad!$A$8,informatieblad!$B$8,IF(D50=informatieblad!$A$2,informatieblad!$B$2,IF(D50=informatieblad!$A$3,informatieblad!$B$3,IF(D50=informatieblad!$A$4,informatieblad!$B$4,IF(D50=informatieblad!$A$5,informatieblad!$B$5,"")))))))</f>
        <v/>
      </c>
      <c r="AS51" s="276">
        <f>IF(AQ51=AS49,(4*C51),0)</f>
        <v>0</v>
      </c>
      <c r="AT51" s="276">
        <f>IF(AR51=AS49,(4*C51),0)</f>
        <v>0</v>
      </c>
      <c r="AU51" s="276">
        <f>IF(AQ51=AU49,(4*C51),0)</f>
        <v>0</v>
      </c>
      <c r="AV51" s="274">
        <f>IF(AR51=AU49,(4*C51),0)</f>
        <v>0</v>
      </c>
    </row>
    <row r="52" spans="1:48" ht="5.0999999999999996" customHeight="1" thickBot="1">
      <c r="A52" s="145"/>
      <c r="B52" s="122"/>
      <c r="C52" s="122"/>
      <c r="D52" s="122"/>
      <c r="E52" s="122"/>
      <c r="F52" s="122"/>
      <c r="G52" s="122"/>
      <c r="H52" s="122"/>
      <c r="I52" s="146"/>
    </row>
    <row r="53" spans="1:48" ht="14.25" customHeight="1" thickBot="1">
      <c r="A53" s="445"/>
      <c r="B53" s="96"/>
      <c r="C53" s="96"/>
      <c r="D53" s="96"/>
      <c r="E53" s="167">
        <f>C53</f>
        <v>0</v>
      </c>
      <c r="F53" s="177">
        <f>(B53&gt;0)*$I$10</f>
        <v>0</v>
      </c>
      <c r="G53" s="177">
        <f>(B53&gt;0)*$I$11</f>
        <v>0</v>
      </c>
      <c r="H53" s="177">
        <f>(B53&gt;0)*$I$12</f>
        <v>0</v>
      </c>
      <c r="I53" s="178"/>
      <c r="J53" s="345" t="s">
        <v>20</v>
      </c>
      <c r="K53" s="83"/>
      <c r="L53" s="97" t="s">
        <v>14</v>
      </c>
      <c r="M53" s="98" t="s">
        <v>27</v>
      </c>
      <c r="N53" s="98" t="s">
        <v>28</v>
      </c>
      <c r="O53" s="98" t="s">
        <v>27</v>
      </c>
      <c r="P53" s="98" t="s">
        <v>28</v>
      </c>
      <c r="Q53" s="98" t="s">
        <v>29</v>
      </c>
      <c r="R53" s="66" t="s">
        <v>30</v>
      </c>
      <c r="S53" s="153" t="s">
        <v>31</v>
      </c>
      <c r="T53" s="153"/>
      <c r="U53" s="153"/>
      <c r="V53" s="154" t="s">
        <v>83</v>
      </c>
      <c r="W53" s="100" t="s">
        <v>83</v>
      </c>
      <c r="X53" s="100" t="s">
        <v>83</v>
      </c>
      <c r="Y53" s="100" t="s">
        <v>33</v>
      </c>
      <c r="Z53" s="100" t="s">
        <v>34</v>
      </c>
      <c r="AA53" s="98" t="s">
        <v>32</v>
      </c>
      <c r="AB53" s="98" t="s">
        <v>32</v>
      </c>
      <c r="AC53" s="98" t="s">
        <v>35</v>
      </c>
      <c r="AD53" s="101" t="s">
        <v>36</v>
      </c>
      <c r="AF53" s="97" t="str">
        <f>informatieblad!$A$6</f>
        <v>FL20</v>
      </c>
      <c r="AG53" s="99"/>
      <c r="AH53" s="97" t="str">
        <f>informatieblad!$A$7</f>
        <v>FL30</v>
      </c>
      <c r="AI53" s="66"/>
      <c r="AJ53" s="99" t="str">
        <f>informatieblad!$A$8</f>
        <v>FL40</v>
      </c>
      <c r="AK53" s="66"/>
      <c r="AL53" s="97" t="str">
        <f>informatieblad!$A$5</f>
        <v>none</v>
      </c>
      <c r="AM53" s="264"/>
      <c r="AO53" s="266" t="s">
        <v>37</v>
      </c>
      <c r="AQ53" s="269" t="s">
        <v>38</v>
      </c>
      <c r="AR53" s="272"/>
      <c r="AS53" s="272">
        <f>informatieblad!$B$3</f>
        <v>0</v>
      </c>
      <c r="AT53" s="272">
        <f>informatieblad!$B$3</f>
        <v>0</v>
      </c>
      <c r="AU53" s="272">
        <f>informatieblad!$B$4</f>
        <v>0</v>
      </c>
      <c r="AV53" s="264">
        <f>informatieblad!$B$4</f>
        <v>0</v>
      </c>
    </row>
    <row r="54" spans="1:48" ht="15" customHeight="1">
      <c r="A54" s="467"/>
      <c r="B54" s="479" t="str">
        <f>IF($C55&gt;0,IF(MAX(B53:C53)&lt;informatieblad!$Q$4,informatieblad!$P$3,IF(MAX(B53:C53)&gt;informatieblad!$R$4,informatieblad!$P$5,informatieblad!$P$4)),"")</f>
        <v/>
      </c>
      <c r="C54" s="480"/>
      <c r="D54" s="479" t="str">
        <f>IF($C55&gt;0,IF(MAX(D53:E53)&lt;informatieblad!$Q$4,informatieblad!$P$3,IF(MAX(D53:E53)&gt;informatieblad!$R$4,informatieblad!$P$5,informatieblad!$P$4)),"")</f>
        <v/>
      </c>
      <c r="E54" s="480"/>
      <c r="F54" s="173" t="str">
        <f>A53&amp;"-"&amp;informatieblad!$B$14&amp;"-"&amp;B53&amp;"-"&amp;C53&amp;"-"&amp;D53&amp;"-"&amp;E53&amp;"-"&amp;F53&amp;"-"&amp;G53&amp;"-"&amp;H53&amp;"-"&amp;I53&amp;"-"&amp;B54&amp;"-"&amp;D54&amp;"-"&amp;F55</f>
        <v>-RctB----0-0-0-0----Options None</v>
      </c>
      <c r="G54" s="174"/>
      <c r="H54" s="179"/>
      <c r="I54" s="175"/>
      <c r="J54" s="83"/>
      <c r="K54" s="83"/>
      <c r="L54" s="103">
        <f>A53</f>
        <v>0</v>
      </c>
      <c r="M54" s="104" t="s">
        <v>39</v>
      </c>
      <c r="N54" s="104" t="s">
        <v>39</v>
      </c>
      <c r="O54" s="104" t="s">
        <v>40</v>
      </c>
      <c r="P54" s="104" t="s">
        <v>40</v>
      </c>
      <c r="Q54" s="104" t="s">
        <v>40</v>
      </c>
      <c r="R54" s="105"/>
      <c r="S54" s="155" t="s">
        <v>27</v>
      </c>
      <c r="T54" s="155" t="s">
        <v>40</v>
      </c>
      <c r="U54" s="155" t="s">
        <v>41</v>
      </c>
      <c r="V54" s="156" t="s">
        <v>105</v>
      </c>
      <c r="W54" s="104" t="s">
        <v>106</v>
      </c>
      <c r="X54" s="107" t="s">
        <v>87</v>
      </c>
      <c r="Y54" s="107"/>
      <c r="Z54" s="107"/>
      <c r="AA54" s="104" t="s">
        <v>40</v>
      </c>
      <c r="AB54" s="104" t="s">
        <v>41</v>
      </c>
      <c r="AC54" s="108"/>
      <c r="AD54" s="109"/>
      <c r="AF54" s="262" t="str">
        <f>informatieblad!$A$2</f>
        <v>FL20 loose</v>
      </c>
      <c r="AG54" s="263"/>
      <c r="AH54" s="262" t="str">
        <f>informatieblad!$A$3</f>
        <v>FL30 loose</v>
      </c>
      <c r="AI54" s="105"/>
      <c r="AJ54" s="263" t="str">
        <f>informatieblad!$A$4</f>
        <v>FL40 loose</v>
      </c>
      <c r="AK54" s="105"/>
      <c r="AL54" s="265"/>
      <c r="AM54" s="105"/>
      <c r="AN54" s="83" t="str">
        <f>'UC mounting materials '!$B$10</f>
        <v>Rail 30x15</v>
      </c>
      <c r="AO54" s="327">
        <f>IF(Y55&lt;1000,(Y55+100),0)*C55</f>
        <v>0</v>
      </c>
      <c r="AQ54" s="265" t="s">
        <v>47</v>
      </c>
      <c r="AR54" s="106" t="s">
        <v>48</v>
      </c>
      <c r="AS54" s="83" t="s">
        <v>23</v>
      </c>
      <c r="AT54" s="83" t="s">
        <v>23</v>
      </c>
      <c r="AU54" s="83" t="s">
        <v>23</v>
      </c>
      <c r="AV54" s="273" t="s">
        <v>23</v>
      </c>
    </row>
    <row r="55" spans="1:48" ht="15.75" customHeight="1" thickBot="1">
      <c r="A55" s="468"/>
      <c r="B55" s="92" t="s">
        <v>23</v>
      </c>
      <c r="C55" s="110"/>
      <c r="D55" s="94">
        <f>C55*N55</f>
        <v>0</v>
      </c>
      <c r="E55" s="141" t="s">
        <v>24</v>
      </c>
      <c r="F55" s="451" t="s">
        <v>25</v>
      </c>
      <c r="G55" s="452"/>
      <c r="H55" s="452"/>
      <c r="I55" s="453"/>
      <c r="J55" s="176"/>
      <c r="K55" s="176"/>
      <c r="L55" s="111"/>
      <c r="M55" s="112">
        <f>(((((2*(B53+C53))*(D53+G53+F53))+((2*(D53+E53))*(B53+H53+F53)))/90)*I53)/1000000</f>
        <v>0</v>
      </c>
      <c r="N55" s="112">
        <f>((IF(M55&lt;=informatieblad!$I$14,informatieblad!$I$14,IF(M55&gt;=informatieblad!$I$14,M55))))</f>
        <v>0.5</v>
      </c>
      <c r="O55" s="158">
        <f>(ROUND((((2*(X55+C53))*(((2*PI()*(X55+F53))*(I53/360))+H53+G53))/1000000),2))</f>
        <v>0</v>
      </c>
      <c r="P55" s="158">
        <f>((IF(O55&lt;=informatieblad!$H$14,informatieblad!$H$14,IF(O55&gt;=informatieblad!$H$14,O55))))</f>
        <v>0</v>
      </c>
      <c r="Q55" s="113">
        <f>((P55*AA55)+(P55*T55))*C55</f>
        <v>0</v>
      </c>
      <c r="R55" s="114">
        <f>((N55*AB55)+(N55*U55))*C55</f>
        <v>0</v>
      </c>
      <c r="S55" s="115" t="str">
        <f>F55</f>
        <v>Options None</v>
      </c>
      <c r="T55" s="115">
        <f>VLOOKUP(F55,informatieblad!$A$37:$D$41,2,FALSE)</f>
        <v>0</v>
      </c>
      <c r="U55" s="115">
        <f>VLOOKUP(F55,informatieblad!$A$37:$D$41,4,FALSE)</f>
        <v>0</v>
      </c>
      <c r="V55" s="180">
        <f>(MAX(B53,C53))</f>
        <v>0</v>
      </c>
      <c r="W55" s="119">
        <f>(MAX(D53,E53))</f>
        <v>0</v>
      </c>
      <c r="X55" s="119">
        <f>(MAX(B53,D53))</f>
        <v>0</v>
      </c>
      <c r="Y55" s="119">
        <f>(MAX(B53:E53))</f>
        <v>0</v>
      </c>
      <c r="Z55" s="119">
        <f>LOOKUP(Y55,informatieblad!$C$27:$C$32,informatieblad!$A$27:$A$32)</f>
        <v>0.5</v>
      </c>
      <c r="AA55" s="118">
        <f>VLOOKUP(Z55,informatieblad!$A$27:$M$32,6,FALSE)</f>
        <v>0</v>
      </c>
      <c r="AB55" s="118">
        <f>VLOOKUP(Z55,informatieblad!$A$27:$M$32,8,FALSE)</f>
        <v>45.1248</v>
      </c>
      <c r="AC55" s="120">
        <f>VLOOKUP(Z55,informatieblad!$A$27:$M$32,13,FALSE)</f>
        <v>4</v>
      </c>
      <c r="AD55" s="121">
        <f>ROUND((AC55*M55),1)</f>
        <v>0</v>
      </c>
      <c r="AF55" s="281">
        <f>IF(B54=AF53,(2*B53)+(2*C53),IF(B54=AF54,(2*B53)+(2*C53),0))*C55</f>
        <v>0</v>
      </c>
      <c r="AG55" s="261">
        <f>IF(D54=AF53,(2*D53)+(2*E53),IF(D54=AF54,(2*D53)+(2*E53),0))*C55</f>
        <v>0</v>
      </c>
      <c r="AH55" s="111">
        <f>IF(B54=AH53,(2*B53)+(2*C53),IF(B54=AH54,(2*B53)+(2*C53),0))*C55</f>
        <v>0</v>
      </c>
      <c r="AI55" s="260">
        <f>IF(D54=AH53,(2*D53)+(2*E53),IF(D54=AH54,(2*D53)+(2*E53),0))*C55</f>
        <v>0</v>
      </c>
      <c r="AJ55" s="261">
        <f>IF(B54=AJ53,(2*B53)+(2*C53),IF(B54=AJ54,(2*B53)+(2*C53),0))*C55</f>
        <v>0</v>
      </c>
      <c r="AK55" s="260">
        <f>IF(D54=AJ53,(2*D53)+(2*E53),IF(D54=AJ54,(2*D53)+(2*E53),0))*C55</f>
        <v>0</v>
      </c>
      <c r="AL55" s="111">
        <f>IF(B54=AL53,(2*B53)+(2*C53),0)*C55</f>
        <v>0</v>
      </c>
      <c r="AM55" s="260">
        <f>IF(D54=AL53,(2*D53)+(2*E53),0)*C55</f>
        <v>0</v>
      </c>
      <c r="AN55" s="83" t="str">
        <f>'UC mounting materials '!$B$11</f>
        <v>Rail 41x41</v>
      </c>
      <c r="AO55" s="268">
        <f>IF(Y55&gt;999,(Y55+100),0)*C55</f>
        <v>0</v>
      </c>
      <c r="AQ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AR55" s="275" t="str">
        <f>IF(D54=informatieblad!$A$6,informatieblad!$B$6,IF(D54=informatieblad!$A$7,informatieblad!$B$7,IF(D54=informatieblad!$A$8,informatieblad!$B$8,IF(D54=informatieblad!$A$2,informatieblad!$B$2,IF(D54=informatieblad!$A$3,informatieblad!$B$3,IF(D54=informatieblad!$A$4,informatieblad!$B$4,IF(D54=informatieblad!$A$5,informatieblad!$B$5,"")))))))</f>
        <v/>
      </c>
      <c r="AS55" s="276">
        <f>IF(AQ55=AS53,(4*C55),0)</f>
        <v>0</v>
      </c>
      <c r="AT55" s="276">
        <f>IF(AR55=AS53,(4*C55),0)</f>
        <v>0</v>
      </c>
      <c r="AU55" s="276">
        <f>IF(AQ55=AU53,(4*C55),0)</f>
        <v>0</v>
      </c>
      <c r="AV55" s="274">
        <f>IF(AR55=AU53,(4*C55),0)</f>
        <v>0</v>
      </c>
    </row>
    <row r="56" spans="1:48" ht="5.0999999999999996" customHeight="1" thickBot="1">
      <c r="A56" s="145"/>
      <c r="B56" s="122"/>
      <c r="C56" s="122"/>
      <c r="D56" s="122"/>
      <c r="E56" s="122"/>
      <c r="F56" s="122"/>
      <c r="G56" s="122"/>
      <c r="H56" s="122"/>
      <c r="I56" s="146"/>
    </row>
    <row r="57" spans="1:48" ht="15.75" customHeight="1" thickBot="1">
      <c r="A57" s="445"/>
      <c r="B57" s="96"/>
      <c r="C57" s="96"/>
      <c r="D57" s="96"/>
      <c r="E57" s="167">
        <f>C57</f>
        <v>0</v>
      </c>
      <c r="F57" s="177">
        <f>(B57&gt;0)*$I$10</f>
        <v>0</v>
      </c>
      <c r="G57" s="177">
        <f>(B57&gt;0)*$I$11</f>
        <v>0</v>
      </c>
      <c r="H57" s="177">
        <f>(B57&gt;0)*$I$12</f>
        <v>0</v>
      </c>
      <c r="I57" s="178"/>
      <c r="J57" s="345" t="s">
        <v>20</v>
      </c>
      <c r="K57" s="83"/>
      <c r="L57" s="97" t="s">
        <v>14</v>
      </c>
      <c r="M57" s="98" t="s">
        <v>27</v>
      </c>
      <c r="N57" s="98" t="s">
        <v>28</v>
      </c>
      <c r="O57" s="98" t="s">
        <v>27</v>
      </c>
      <c r="P57" s="98" t="s">
        <v>28</v>
      </c>
      <c r="Q57" s="98" t="s">
        <v>29</v>
      </c>
      <c r="R57" s="66" t="s">
        <v>30</v>
      </c>
      <c r="S57" s="153" t="s">
        <v>31</v>
      </c>
      <c r="T57" s="153"/>
      <c r="U57" s="153"/>
      <c r="V57" s="154" t="s">
        <v>83</v>
      </c>
      <c r="W57" s="100" t="s">
        <v>83</v>
      </c>
      <c r="X57" s="100" t="s">
        <v>83</v>
      </c>
      <c r="Y57" s="100" t="s">
        <v>33</v>
      </c>
      <c r="Z57" s="100" t="s">
        <v>34</v>
      </c>
      <c r="AA57" s="98" t="s">
        <v>32</v>
      </c>
      <c r="AB57" s="98" t="s">
        <v>32</v>
      </c>
      <c r="AC57" s="98" t="s">
        <v>49</v>
      </c>
      <c r="AD57" s="101" t="s">
        <v>36</v>
      </c>
      <c r="AF57" s="97" t="str">
        <f>informatieblad!$A$6</f>
        <v>FL20</v>
      </c>
      <c r="AG57" s="99"/>
      <c r="AH57" s="97" t="str">
        <f>informatieblad!$A$7</f>
        <v>FL30</v>
      </c>
      <c r="AI57" s="66"/>
      <c r="AJ57" s="99" t="str">
        <f>informatieblad!$A$8</f>
        <v>FL40</v>
      </c>
      <c r="AK57" s="66"/>
      <c r="AL57" s="97" t="str">
        <f>informatieblad!$A$5</f>
        <v>none</v>
      </c>
      <c r="AM57" s="264"/>
      <c r="AO57" s="266" t="s">
        <v>37</v>
      </c>
      <c r="AQ57" s="269" t="s">
        <v>38</v>
      </c>
      <c r="AR57" s="272"/>
      <c r="AS57" s="272">
        <f>informatieblad!$B$3</f>
        <v>0</v>
      </c>
      <c r="AT57" s="272">
        <f>informatieblad!$B$3</f>
        <v>0</v>
      </c>
      <c r="AU57" s="272">
        <f>informatieblad!$B$4</f>
        <v>0</v>
      </c>
      <c r="AV57" s="264">
        <f>informatieblad!$B$4</f>
        <v>0</v>
      </c>
    </row>
    <row r="58" spans="1:48" ht="15.75" customHeight="1">
      <c r="A58" s="475"/>
      <c r="B58" s="479" t="str">
        <f>IF($C59&gt;0,IF(MAX(B57:C57)&lt;informatieblad!$Q$4,informatieblad!$P$3,IF(MAX(B57:C57)&gt;informatieblad!$R$4,informatieblad!$P$5,informatieblad!$P$4)),"")</f>
        <v/>
      </c>
      <c r="C58" s="480"/>
      <c r="D58" s="479" t="str">
        <f>IF($C59&gt;0,IF(MAX(D57:E57)&lt;informatieblad!$Q$4,informatieblad!$P$3,IF(MAX(D57:E57)&gt;informatieblad!$R$4,informatieblad!$P$5,informatieblad!$P$4)),"")</f>
        <v/>
      </c>
      <c r="E58" s="480"/>
      <c r="F58" s="173" t="str">
        <f>A57&amp;"-"&amp;informatieblad!$B$14&amp;"-"&amp;B57&amp;"-"&amp;C57&amp;"-"&amp;D57&amp;"-"&amp;E57&amp;"-"&amp;F57&amp;"-"&amp;G57&amp;"-"&amp;H57&amp;"-"&amp;I57&amp;"-"&amp;B58&amp;"-"&amp;D58&amp;"-"&amp;F59</f>
        <v>-RctB----0-0-0-0----Options None</v>
      </c>
      <c r="G58" s="174"/>
      <c r="H58" s="179"/>
      <c r="I58" s="175"/>
      <c r="J58" s="83"/>
      <c r="K58" s="83"/>
      <c r="L58" s="103">
        <f>A57</f>
        <v>0</v>
      </c>
      <c r="M58" s="104" t="s">
        <v>39</v>
      </c>
      <c r="N58" s="104" t="s">
        <v>39</v>
      </c>
      <c r="O58" s="104" t="s">
        <v>40</v>
      </c>
      <c r="P58" s="104" t="s">
        <v>40</v>
      </c>
      <c r="Q58" s="104" t="s">
        <v>40</v>
      </c>
      <c r="R58" s="105"/>
      <c r="S58" s="155" t="s">
        <v>27</v>
      </c>
      <c r="T58" s="155" t="s">
        <v>40</v>
      </c>
      <c r="U58" s="155" t="s">
        <v>41</v>
      </c>
      <c r="V58" s="156" t="s">
        <v>107</v>
      </c>
      <c r="W58" s="104" t="s">
        <v>108</v>
      </c>
      <c r="X58" s="107" t="s">
        <v>91</v>
      </c>
      <c r="Y58" s="107"/>
      <c r="Z58" s="107"/>
      <c r="AA58" s="104" t="s">
        <v>40</v>
      </c>
      <c r="AB58" s="104" t="s">
        <v>41</v>
      </c>
      <c r="AC58" s="108"/>
      <c r="AD58" s="109"/>
      <c r="AF58" s="262" t="str">
        <f>informatieblad!$A$2</f>
        <v>FL20 loose</v>
      </c>
      <c r="AG58" s="263"/>
      <c r="AH58" s="262" t="str">
        <f>informatieblad!$A$3</f>
        <v>FL30 loose</v>
      </c>
      <c r="AI58" s="105"/>
      <c r="AJ58" s="263" t="str">
        <f>informatieblad!$A$4</f>
        <v>FL40 loose</v>
      </c>
      <c r="AK58" s="105"/>
      <c r="AL58" s="265"/>
      <c r="AM58" s="105"/>
      <c r="AN58" s="83" t="str">
        <f>'UC mounting materials '!$B$10</f>
        <v>Rail 30x15</v>
      </c>
      <c r="AO58" s="327">
        <f>IF(Y59&lt;1000,(Y59+100),0)*C59</f>
        <v>0</v>
      </c>
      <c r="AQ58" s="265" t="s">
        <v>47</v>
      </c>
      <c r="AR58" s="106" t="s">
        <v>48</v>
      </c>
      <c r="AS58" s="83" t="s">
        <v>23</v>
      </c>
      <c r="AT58" s="83" t="s">
        <v>23</v>
      </c>
      <c r="AU58" s="83" t="s">
        <v>23</v>
      </c>
      <c r="AV58" s="273" t="s">
        <v>23</v>
      </c>
    </row>
    <row r="59" spans="1:48" ht="15.75" customHeight="1" thickBot="1">
      <c r="A59" s="447"/>
      <c r="B59" s="92" t="s">
        <v>23</v>
      </c>
      <c r="C59" s="110"/>
      <c r="D59" s="94">
        <f>C59*N59</f>
        <v>0</v>
      </c>
      <c r="E59" s="141" t="s">
        <v>24</v>
      </c>
      <c r="F59" s="451" t="s">
        <v>25</v>
      </c>
      <c r="G59" s="452"/>
      <c r="H59" s="452"/>
      <c r="I59" s="453"/>
      <c r="J59" s="176"/>
      <c r="K59" s="176"/>
      <c r="L59" s="111"/>
      <c r="M59" s="112">
        <f>(((((2*(B57+C57))*(D57+G57+F57))+((2*(D57+E57))*(B57+H57+F57)))/90)*I57)/1000000</f>
        <v>0</v>
      </c>
      <c r="N59" s="112">
        <f>((IF(M59&lt;=informatieblad!$I$14,informatieblad!$I$14,IF(M59&gt;=informatieblad!$I$14,M59))))</f>
        <v>0.5</v>
      </c>
      <c r="O59" s="158">
        <f>(ROUND((((2*(X59+C57))*(((2*PI()*(X59+F57))*(I57/360))+H57+G57))/1000000),2))</f>
        <v>0</v>
      </c>
      <c r="P59" s="158">
        <f>((IF(O59&lt;=informatieblad!$H$14,informatieblad!$H$14,IF(O59&gt;=informatieblad!$H$14,O59))))</f>
        <v>0</v>
      </c>
      <c r="Q59" s="113">
        <f>((P59*AA59)+(P59*T59))*C59</f>
        <v>0</v>
      </c>
      <c r="R59" s="114">
        <f>((N59*AB59)+(N59*U59))*C59</f>
        <v>0</v>
      </c>
      <c r="S59" s="115" t="str">
        <f>F59</f>
        <v>Options None</v>
      </c>
      <c r="T59" s="115">
        <f>VLOOKUP(F59,informatieblad!$A$37:$D$41,2,FALSE)</f>
        <v>0</v>
      </c>
      <c r="U59" s="115">
        <f>VLOOKUP(F59,informatieblad!$A$37:$D$41,4,FALSE)</f>
        <v>0</v>
      </c>
      <c r="V59" s="180">
        <f>(MAX(B57,C57))</f>
        <v>0</v>
      </c>
      <c r="W59" s="119">
        <f>(MAX(D57,E57))</f>
        <v>0</v>
      </c>
      <c r="X59" s="119">
        <f>(MAX(B57,D57))</f>
        <v>0</v>
      </c>
      <c r="Y59" s="119">
        <f>(MAX(B57:E57))</f>
        <v>0</v>
      </c>
      <c r="Z59" s="119">
        <f>LOOKUP(Y59,informatieblad!$C$27:$C$32,informatieblad!$A$27:$A$32)</f>
        <v>0.5</v>
      </c>
      <c r="AA59" s="118">
        <f>VLOOKUP(Z59,informatieblad!$A$27:$M$32,6,FALSE)</f>
        <v>0</v>
      </c>
      <c r="AB59" s="118">
        <f>VLOOKUP(Z59,informatieblad!$A$27:$M$32,8,FALSE)</f>
        <v>45.1248</v>
      </c>
      <c r="AC59" s="120">
        <f>VLOOKUP(Z59,informatieblad!$A$27:$M$32,13,FALSE)</f>
        <v>4</v>
      </c>
      <c r="AD59" s="121">
        <f>ROUND((AC59*M59),1)</f>
        <v>0</v>
      </c>
      <c r="AF59" s="281">
        <f>IF(B58=AF57,(2*B57)+(2*C57),IF(B58=AF58,(2*B57)+(2*C57),0))*C59</f>
        <v>0</v>
      </c>
      <c r="AG59" s="261">
        <f>IF(D58=AF57,(2*D57)+(2*E57),IF(D58=AF58,(2*D57)+(2*E57),0))*C59</f>
        <v>0</v>
      </c>
      <c r="AH59" s="111">
        <f>IF(B58=AH57,(2*B57)+(2*C57),IF(B58=AH58,(2*B57)+(2*C57),0))*C59</f>
        <v>0</v>
      </c>
      <c r="AI59" s="260">
        <f>IF(D58=AH57,(2*D57)+(2*E57),IF(D58=AH58,(2*D57)+(2*E57),0))*C59</f>
        <v>0</v>
      </c>
      <c r="AJ59" s="261">
        <f>IF(B58=AJ57,(2*B57)+(2*C57),IF(B58=AJ58,(2*B57)+(2*C57),0))*C59</f>
        <v>0</v>
      </c>
      <c r="AK59" s="260">
        <f>IF(D58=AJ57,(2*D57)+(2*E57),IF(D58=AJ58,(2*D57)+(2*E57),0))*C59</f>
        <v>0</v>
      </c>
      <c r="AL59" s="111">
        <f>IF(B58=AL57,(2*B57)+(2*C57),0)*C59</f>
        <v>0</v>
      </c>
      <c r="AM59" s="260">
        <f>IF(D58=AL57,(2*D57)+(2*E57),0)*C59</f>
        <v>0</v>
      </c>
      <c r="AN59" s="83" t="str">
        <f>'UC mounting materials '!$B$11</f>
        <v>Rail 41x41</v>
      </c>
      <c r="AO59" s="268">
        <f>IF(Y59&gt;999,(Y59+100),0)*C59</f>
        <v>0</v>
      </c>
      <c r="AQ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AR59" s="275" t="str">
        <f>IF(D58=informatieblad!$A$6,informatieblad!$B$6,IF(D58=informatieblad!$A$7,informatieblad!$B$7,IF(D58=informatieblad!$A$8,informatieblad!$B$8,IF(D58=informatieblad!$A$2,informatieblad!$B$2,IF(D58=informatieblad!$A$3,informatieblad!$B$3,IF(D58=informatieblad!$A$4,informatieblad!$B$4,IF(D58=informatieblad!$A$5,informatieblad!$B$5,"")))))))</f>
        <v/>
      </c>
      <c r="AS59" s="276">
        <f>IF(AQ59=AS57,(4*C59),0)</f>
        <v>0</v>
      </c>
      <c r="AT59" s="276">
        <f>IF(AR59=AS57,(4*C59),0)</f>
        <v>0</v>
      </c>
      <c r="AU59" s="276">
        <f>IF(AQ59=AU57,(4*C59),0)</f>
        <v>0</v>
      </c>
      <c r="AV59" s="274">
        <f>IF(AR59=AU57,(4*C59),0)</f>
        <v>0</v>
      </c>
    </row>
    <row r="60" spans="1:48" ht="5.0999999999999996" customHeight="1" thickBot="1">
      <c r="A60" s="145"/>
      <c r="B60" s="122"/>
      <c r="C60" s="122"/>
      <c r="D60" s="122"/>
      <c r="E60" s="122"/>
      <c r="F60" s="122"/>
      <c r="G60" s="122"/>
      <c r="H60" s="122"/>
      <c r="I60" s="146"/>
      <c r="R60" s="144"/>
      <c r="S60" s="144"/>
      <c r="T60" s="144"/>
      <c r="U60" s="144"/>
    </row>
    <row r="61" spans="1:48" ht="15.75" customHeight="1" thickBot="1">
      <c r="A61" s="445"/>
      <c r="B61" s="96"/>
      <c r="C61" s="96"/>
      <c r="D61" s="96"/>
      <c r="E61" s="167">
        <f>C61</f>
        <v>0</v>
      </c>
      <c r="F61" s="177">
        <f>(B61&gt;0)*$I$10</f>
        <v>0</v>
      </c>
      <c r="G61" s="177">
        <f>(B61&gt;0)*$I$11</f>
        <v>0</v>
      </c>
      <c r="H61" s="177">
        <f>(B61&gt;0)*$I$12</f>
        <v>0</v>
      </c>
      <c r="I61" s="178"/>
      <c r="J61" s="345" t="s">
        <v>20</v>
      </c>
      <c r="K61" s="83"/>
      <c r="L61" s="97" t="s">
        <v>14</v>
      </c>
      <c r="M61" s="98" t="s">
        <v>27</v>
      </c>
      <c r="N61" s="98" t="s">
        <v>28</v>
      </c>
      <c r="O61" s="98" t="s">
        <v>27</v>
      </c>
      <c r="P61" s="98" t="s">
        <v>28</v>
      </c>
      <c r="Q61" s="98" t="s">
        <v>29</v>
      </c>
      <c r="R61" s="66" t="s">
        <v>30</v>
      </c>
      <c r="S61" s="153" t="s">
        <v>31</v>
      </c>
      <c r="T61" s="153"/>
      <c r="U61" s="153"/>
      <c r="V61" s="154" t="s">
        <v>83</v>
      </c>
      <c r="W61" s="100" t="s">
        <v>83</v>
      </c>
      <c r="X61" s="100" t="s">
        <v>83</v>
      </c>
      <c r="Y61" s="100" t="s">
        <v>33</v>
      </c>
      <c r="Z61" s="100" t="s">
        <v>34</v>
      </c>
      <c r="AA61" s="98" t="s">
        <v>32</v>
      </c>
      <c r="AB61" s="98" t="s">
        <v>32</v>
      </c>
      <c r="AC61" s="98" t="s">
        <v>49</v>
      </c>
      <c r="AD61" s="101" t="s">
        <v>36</v>
      </c>
      <c r="AF61" s="97" t="str">
        <f>informatieblad!$A$6</f>
        <v>FL20</v>
      </c>
      <c r="AG61" s="99"/>
      <c r="AH61" s="97" t="str">
        <f>informatieblad!$A$7</f>
        <v>FL30</v>
      </c>
      <c r="AI61" s="66"/>
      <c r="AJ61" s="99" t="str">
        <f>informatieblad!$A$8</f>
        <v>FL40</v>
      </c>
      <c r="AK61" s="66"/>
      <c r="AL61" s="97" t="str">
        <f>informatieblad!$A$5</f>
        <v>none</v>
      </c>
      <c r="AM61" s="264"/>
      <c r="AO61" s="266" t="s">
        <v>37</v>
      </c>
      <c r="AQ61" s="269" t="s">
        <v>38</v>
      </c>
      <c r="AR61" s="272"/>
      <c r="AS61" s="272">
        <f>informatieblad!$B$3</f>
        <v>0</v>
      </c>
      <c r="AT61" s="272">
        <f>informatieblad!$B$3</f>
        <v>0</v>
      </c>
      <c r="AU61" s="272">
        <f>informatieblad!$B$4</f>
        <v>0</v>
      </c>
      <c r="AV61" s="264">
        <f>informatieblad!$B$4</f>
        <v>0</v>
      </c>
    </row>
    <row r="62" spans="1:48" ht="15.75" customHeight="1">
      <c r="A62" s="475"/>
      <c r="B62" s="479" t="str">
        <f>IF($C63&gt;0,IF(MAX(B61:C61)&lt;informatieblad!$Q$4,informatieblad!$P$3,IF(MAX(B61:C61)&gt;informatieblad!$R$4,informatieblad!$P$5,informatieblad!$P$4)),"")</f>
        <v/>
      </c>
      <c r="C62" s="480"/>
      <c r="D62" s="479" t="str">
        <f>IF($C63&gt;0,IF(MAX(D61:E61)&lt;informatieblad!$Q$4,informatieblad!$P$3,IF(MAX(D61:E61)&gt;informatieblad!$R$4,informatieblad!$P$5,informatieblad!$P$4)),"")</f>
        <v/>
      </c>
      <c r="E62" s="480"/>
      <c r="F62" s="173" t="str">
        <f>A61&amp;"-"&amp;informatieblad!$B$14&amp;"-"&amp;B61&amp;"-"&amp;C61&amp;"-"&amp;D61&amp;"-"&amp;E61&amp;"-"&amp;F61&amp;"-"&amp;G61&amp;"-"&amp;H61&amp;"-"&amp;I61&amp;"-"&amp;B62&amp;"-"&amp;D62&amp;"-"&amp;F63</f>
        <v>-RctB----0-0-0-0----Options None</v>
      </c>
      <c r="G62" s="174"/>
      <c r="H62" s="179"/>
      <c r="I62" s="175"/>
      <c r="J62" s="83"/>
      <c r="K62" s="83"/>
      <c r="L62" s="103">
        <f>A61</f>
        <v>0</v>
      </c>
      <c r="M62" s="104" t="s">
        <v>39</v>
      </c>
      <c r="N62" s="104" t="s">
        <v>39</v>
      </c>
      <c r="O62" s="104" t="s">
        <v>40</v>
      </c>
      <c r="P62" s="104" t="s">
        <v>40</v>
      </c>
      <c r="Q62" s="104" t="s">
        <v>40</v>
      </c>
      <c r="R62" s="105"/>
      <c r="S62" s="155" t="s">
        <v>27</v>
      </c>
      <c r="T62" s="155" t="s">
        <v>40</v>
      </c>
      <c r="U62" s="155" t="s">
        <v>41</v>
      </c>
      <c r="V62" s="156" t="s">
        <v>107</v>
      </c>
      <c r="W62" s="104" t="s">
        <v>108</v>
      </c>
      <c r="X62" s="107" t="s">
        <v>91</v>
      </c>
      <c r="Y62" s="107"/>
      <c r="Z62" s="107"/>
      <c r="AA62" s="104" t="s">
        <v>40</v>
      </c>
      <c r="AB62" s="104" t="s">
        <v>41</v>
      </c>
      <c r="AC62" s="108"/>
      <c r="AD62" s="109"/>
      <c r="AF62" s="262" t="str">
        <f>informatieblad!$A$2</f>
        <v>FL20 loose</v>
      </c>
      <c r="AG62" s="263"/>
      <c r="AH62" s="262" t="str">
        <f>informatieblad!$A$3</f>
        <v>FL30 loose</v>
      </c>
      <c r="AI62" s="105"/>
      <c r="AJ62" s="263" t="str">
        <f>informatieblad!$A$4</f>
        <v>FL40 loose</v>
      </c>
      <c r="AK62" s="105"/>
      <c r="AL62" s="265"/>
      <c r="AM62" s="105"/>
      <c r="AN62" s="83" t="str">
        <f>'UC mounting materials '!$B$10</f>
        <v>Rail 30x15</v>
      </c>
      <c r="AO62" s="327">
        <f>IF(Y63&lt;1000,(Y63+100),0)*C63</f>
        <v>0</v>
      </c>
      <c r="AQ62" s="265" t="s">
        <v>47</v>
      </c>
      <c r="AR62" s="106" t="s">
        <v>48</v>
      </c>
      <c r="AS62" s="83" t="s">
        <v>23</v>
      </c>
      <c r="AT62" s="83" t="s">
        <v>23</v>
      </c>
      <c r="AU62" s="83" t="s">
        <v>23</v>
      </c>
      <c r="AV62" s="273" t="s">
        <v>23</v>
      </c>
    </row>
    <row r="63" spans="1:48" ht="15.75" customHeight="1" thickBot="1">
      <c r="A63" s="447"/>
      <c r="B63" s="92" t="s">
        <v>23</v>
      </c>
      <c r="C63" s="110"/>
      <c r="D63" s="94">
        <f>C63*N63</f>
        <v>0</v>
      </c>
      <c r="E63" s="141" t="s">
        <v>24</v>
      </c>
      <c r="F63" s="451" t="s">
        <v>25</v>
      </c>
      <c r="G63" s="452"/>
      <c r="H63" s="452"/>
      <c r="I63" s="453"/>
      <c r="J63" s="176"/>
      <c r="K63" s="176"/>
      <c r="L63" s="111"/>
      <c r="M63" s="112">
        <f>(((((2*(B61+C61))*(D61+G61+F61))+((2*(D61+E61))*(B61+H61+F61)))/90)*I61)/1000000</f>
        <v>0</v>
      </c>
      <c r="N63" s="112">
        <f>((IF(M63&lt;=informatieblad!$I$14,informatieblad!$I$14,IF(M63&gt;=informatieblad!$I$14,M63))))</f>
        <v>0.5</v>
      </c>
      <c r="O63" s="158">
        <f>(ROUND((((2*(X63+C61))*(((2*PI()*(X63+F61))*(I61/360))+H61+G61))/1000000),2))</f>
        <v>0</v>
      </c>
      <c r="P63" s="158">
        <f>((IF(O63&lt;=informatieblad!$H$14,informatieblad!$H$14,IF(O63&gt;=informatieblad!$H$14,O63))))</f>
        <v>0</v>
      </c>
      <c r="Q63" s="113">
        <f>((P63*AA63)+(P63*T63))*C63</f>
        <v>0</v>
      </c>
      <c r="R63" s="114">
        <f>((N63*AB63)+(N63*U63))*C63</f>
        <v>0</v>
      </c>
      <c r="S63" s="115" t="str">
        <f>F63</f>
        <v>Options None</v>
      </c>
      <c r="T63" s="115">
        <f>VLOOKUP(F63,informatieblad!$A$37:$D$41,2,FALSE)</f>
        <v>0</v>
      </c>
      <c r="U63" s="115">
        <f>VLOOKUP(F63,informatieblad!$A$37:$D$41,4,FALSE)</f>
        <v>0</v>
      </c>
      <c r="V63" s="180">
        <f>(MAX(B61,C61))</f>
        <v>0</v>
      </c>
      <c r="W63" s="119">
        <f>(MAX(D61,E61))</f>
        <v>0</v>
      </c>
      <c r="X63" s="119">
        <f>(MAX(B61,D61))</f>
        <v>0</v>
      </c>
      <c r="Y63" s="119">
        <f>(MAX(B61:E61))</f>
        <v>0</v>
      </c>
      <c r="Z63" s="119">
        <f>LOOKUP(Y63,informatieblad!$C$27:$C$32,informatieblad!$A$27:$A$32)</f>
        <v>0.5</v>
      </c>
      <c r="AA63" s="118">
        <f>VLOOKUP(Z63,informatieblad!$A$27:$M$32,6,FALSE)</f>
        <v>0</v>
      </c>
      <c r="AB63" s="118">
        <f>VLOOKUP(Z63,informatieblad!$A$27:$M$32,8,FALSE)</f>
        <v>45.1248</v>
      </c>
      <c r="AC63" s="120">
        <f>VLOOKUP(Z63,informatieblad!$A$27:$M$32,13,FALSE)</f>
        <v>4</v>
      </c>
      <c r="AD63" s="121">
        <f>ROUND((AC63*M63),1)</f>
        <v>0</v>
      </c>
      <c r="AF63" s="281">
        <f>IF(B62=AF61,(2*B61)+(2*C61),IF(B62=AF62,(2*B61)+(2*C61),0))*C63</f>
        <v>0</v>
      </c>
      <c r="AG63" s="261">
        <f>IF(D62=AF61,(2*D61)+(2*E61),IF(D62=AF62,(2*D61)+(2*E61),0))*C63</f>
        <v>0</v>
      </c>
      <c r="AH63" s="111">
        <f>IF(B62=AH61,(2*B61)+(2*C61),IF(B62=AH62,(2*B61)+(2*C61),0))*C63</f>
        <v>0</v>
      </c>
      <c r="AI63" s="260">
        <f>IF(D62=AH61,(2*D61)+(2*E61),IF(D62=AH62,(2*D61)+(2*E61),0))*C63</f>
        <v>0</v>
      </c>
      <c r="AJ63" s="261">
        <f>IF(B62=AJ61,(2*B61)+(2*C61),IF(B62=AJ62,(2*B61)+(2*C61),0))*C63</f>
        <v>0</v>
      </c>
      <c r="AK63" s="260">
        <f>IF(D62=AJ61,(2*D61)+(2*E61),IF(D62=AJ62,(2*D61)+(2*E61),0))*C63</f>
        <v>0</v>
      </c>
      <c r="AL63" s="111">
        <f>IF(B62=AL61,(2*B61)+(2*C61),0)*C63</f>
        <v>0</v>
      </c>
      <c r="AM63" s="260">
        <f>IF(D62=AL61,(2*D61)+(2*E61),0)*C63</f>
        <v>0</v>
      </c>
      <c r="AN63" s="83" t="str">
        <f>'UC mounting materials '!$B$11</f>
        <v>Rail 41x41</v>
      </c>
      <c r="AO63" s="268">
        <f>IF(Y63&gt;999,(Y63+100),0)*C63</f>
        <v>0</v>
      </c>
      <c r="AQ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AR63" s="275" t="str">
        <f>IF(D62=informatieblad!$A$6,informatieblad!$B$6,IF(D62=informatieblad!$A$7,informatieblad!$B$7,IF(D62=informatieblad!$A$8,informatieblad!$B$8,IF(D62=informatieblad!$A$2,informatieblad!$B$2,IF(D62=informatieblad!$A$3,informatieblad!$B$3,IF(D62=informatieblad!$A$4,informatieblad!$B$4,IF(D62=informatieblad!$A$5,informatieblad!$B$5,"")))))))</f>
        <v/>
      </c>
      <c r="AS63" s="276">
        <f>IF(AQ63=AS61,(4*C63),0)</f>
        <v>0</v>
      </c>
      <c r="AT63" s="276">
        <f>IF(AR63=AS61,(4*C63),0)</f>
        <v>0</v>
      </c>
      <c r="AU63" s="276">
        <f>IF(AQ63=AU61,(4*C63),0)</f>
        <v>0</v>
      </c>
      <c r="AV63" s="274">
        <f>IF(AR63=AU61,(4*C63),0)</f>
        <v>0</v>
      </c>
    </row>
    <row r="64" spans="1:48" ht="5.0999999999999996" customHeight="1" thickBot="1">
      <c r="A64" s="145"/>
      <c r="B64" s="122"/>
      <c r="C64" s="122"/>
      <c r="D64" s="122"/>
      <c r="E64" s="122"/>
      <c r="F64" s="122"/>
      <c r="G64" s="122"/>
      <c r="H64" s="122"/>
      <c r="I64" s="146"/>
    </row>
    <row r="65" spans="1:48" ht="15.75" customHeight="1" thickBot="1">
      <c r="A65" s="445"/>
      <c r="B65" s="96"/>
      <c r="C65" s="96"/>
      <c r="D65" s="96"/>
      <c r="E65" s="167">
        <f>C65</f>
        <v>0</v>
      </c>
      <c r="F65" s="177">
        <f>(B65&gt;0)*$I$10</f>
        <v>0</v>
      </c>
      <c r="G65" s="177">
        <f>(B65&gt;0)*$I$11</f>
        <v>0</v>
      </c>
      <c r="H65" s="177">
        <f>(B65&gt;0)*$I$12</f>
        <v>0</v>
      </c>
      <c r="I65" s="178"/>
      <c r="J65" s="345" t="s">
        <v>20</v>
      </c>
      <c r="K65" s="83"/>
      <c r="L65" s="97" t="s">
        <v>14</v>
      </c>
      <c r="M65" s="98" t="s">
        <v>27</v>
      </c>
      <c r="N65" s="98" t="s">
        <v>28</v>
      </c>
      <c r="O65" s="98" t="s">
        <v>27</v>
      </c>
      <c r="P65" s="98" t="s">
        <v>28</v>
      </c>
      <c r="Q65" s="98" t="s">
        <v>29</v>
      </c>
      <c r="R65" s="66" t="s">
        <v>30</v>
      </c>
      <c r="S65" s="153" t="s">
        <v>31</v>
      </c>
      <c r="T65" s="153"/>
      <c r="U65" s="153"/>
      <c r="V65" s="154" t="s">
        <v>83</v>
      </c>
      <c r="W65" s="100" t="s">
        <v>83</v>
      </c>
      <c r="X65" s="100" t="s">
        <v>83</v>
      </c>
      <c r="Y65" s="100" t="s">
        <v>33</v>
      </c>
      <c r="Z65" s="100" t="s">
        <v>34</v>
      </c>
      <c r="AA65" s="98" t="s">
        <v>32</v>
      </c>
      <c r="AB65" s="98" t="s">
        <v>32</v>
      </c>
      <c r="AC65" s="98" t="s">
        <v>49</v>
      </c>
      <c r="AD65" s="101" t="s">
        <v>36</v>
      </c>
      <c r="AF65" s="97" t="str">
        <f>informatieblad!$A$6</f>
        <v>FL20</v>
      </c>
      <c r="AG65" s="99"/>
      <c r="AH65" s="97" t="str">
        <f>informatieblad!$A$7</f>
        <v>FL30</v>
      </c>
      <c r="AI65" s="66"/>
      <c r="AJ65" s="99" t="str">
        <f>informatieblad!$A$8</f>
        <v>FL40</v>
      </c>
      <c r="AK65" s="66"/>
      <c r="AL65" s="97" t="str">
        <f>informatieblad!$A$5</f>
        <v>none</v>
      </c>
      <c r="AM65" s="264"/>
      <c r="AO65" s="266" t="s">
        <v>37</v>
      </c>
      <c r="AQ65" s="269" t="s">
        <v>38</v>
      </c>
      <c r="AR65" s="272"/>
      <c r="AS65" s="272">
        <f>informatieblad!$B$3</f>
        <v>0</v>
      </c>
      <c r="AT65" s="272">
        <f>informatieblad!$B$3</f>
        <v>0</v>
      </c>
      <c r="AU65" s="272">
        <f>informatieblad!$B$4</f>
        <v>0</v>
      </c>
      <c r="AV65" s="264">
        <f>informatieblad!$B$4</f>
        <v>0</v>
      </c>
    </row>
    <row r="66" spans="1:48" ht="15.75" customHeight="1">
      <c r="A66" s="475"/>
      <c r="B66" s="479" t="str">
        <f>IF($C67&gt;0,IF(MAX(B65:C65)&lt;informatieblad!$Q$4,informatieblad!$P$3,IF(MAX(B65:C65)&gt;informatieblad!$R$4,informatieblad!$P$5,informatieblad!$P$4)),"")</f>
        <v/>
      </c>
      <c r="C66" s="480"/>
      <c r="D66" s="479" t="str">
        <f>IF($C67&gt;0,IF(MAX(D65:E65)&lt;informatieblad!$Q$4,informatieblad!$P$3,IF(MAX(D65:E65)&gt;informatieblad!$R$4,informatieblad!$P$5,informatieblad!$P$4)),"")</f>
        <v/>
      </c>
      <c r="E66" s="480"/>
      <c r="F66" s="173" t="str">
        <f>A65&amp;"-"&amp;informatieblad!$B$14&amp;"-"&amp;B65&amp;"-"&amp;C65&amp;"-"&amp;D65&amp;"-"&amp;E65&amp;"-"&amp;F65&amp;"-"&amp;G65&amp;"-"&amp;H65&amp;"-"&amp;I65&amp;"-"&amp;B66&amp;"-"&amp;D66&amp;"-"&amp;F67</f>
        <v>-RctB----0-0-0-0----Options None</v>
      </c>
      <c r="G66" s="174"/>
      <c r="H66" s="179"/>
      <c r="I66" s="175"/>
      <c r="J66" s="83"/>
      <c r="K66" s="83"/>
      <c r="L66" s="103">
        <f>A65</f>
        <v>0</v>
      </c>
      <c r="M66" s="104" t="s">
        <v>39</v>
      </c>
      <c r="N66" s="104" t="s">
        <v>39</v>
      </c>
      <c r="O66" s="104" t="s">
        <v>40</v>
      </c>
      <c r="P66" s="104" t="s">
        <v>40</v>
      </c>
      <c r="Q66" s="104" t="s">
        <v>40</v>
      </c>
      <c r="R66" s="105"/>
      <c r="S66" s="155" t="s">
        <v>27</v>
      </c>
      <c r="T66" s="155" t="s">
        <v>40</v>
      </c>
      <c r="U66" s="155" t="s">
        <v>41</v>
      </c>
      <c r="V66" s="156" t="s">
        <v>107</v>
      </c>
      <c r="W66" s="104" t="s">
        <v>108</v>
      </c>
      <c r="X66" s="107" t="s">
        <v>91</v>
      </c>
      <c r="Y66" s="107"/>
      <c r="Z66" s="107"/>
      <c r="AA66" s="104" t="s">
        <v>40</v>
      </c>
      <c r="AB66" s="104" t="s">
        <v>41</v>
      </c>
      <c r="AC66" s="108"/>
      <c r="AD66" s="109"/>
      <c r="AF66" s="262" t="str">
        <f>informatieblad!$A$2</f>
        <v>FL20 loose</v>
      </c>
      <c r="AG66" s="263"/>
      <c r="AH66" s="262" t="str">
        <f>informatieblad!$A$3</f>
        <v>FL30 loose</v>
      </c>
      <c r="AI66" s="105"/>
      <c r="AJ66" s="263" t="str">
        <f>informatieblad!$A$4</f>
        <v>FL40 loose</v>
      </c>
      <c r="AK66" s="105"/>
      <c r="AL66" s="265"/>
      <c r="AM66" s="105"/>
      <c r="AN66" s="83" t="str">
        <f>'UC mounting materials '!$B$10</f>
        <v>Rail 30x15</v>
      </c>
      <c r="AO66" s="327">
        <f>IF(Y67&lt;1000,(Y67+100),0)*C67</f>
        <v>0</v>
      </c>
      <c r="AQ66" s="265" t="s">
        <v>47</v>
      </c>
      <c r="AR66" s="106" t="s">
        <v>48</v>
      </c>
      <c r="AS66" s="83" t="s">
        <v>23</v>
      </c>
      <c r="AT66" s="83" t="s">
        <v>23</v>
      </c>
      <c r="AU66" s="83" t="s">
        <v>23</v>
      </c>
      <c r="AV66" s="273" t="s">
        <v>23</v>
      </c>
    </row>
    <row r="67" spans="1:48" ht="15.75" customHeight="1" thickBot="1">
      <c r="A67" s="447"/>
      <c r="B67" s="92" t="s">
        <v>23</v>
      </c>
      <c r="C67" s="110"/>
      <c r="D67" s="94">
        <f>C67*N67</f>
        <v>0</v>
      </c>
      <c r="E67" s="141" t="s">
        <v>24</v>
      </c>
      <c r="F67" s="451" t="s">
        <v>25</v>
      </c>
      <c r="G67" s="452"/>
      <c r="H67" s="452"/>
      <c r="I67" s="453"/>
      <c r="J67" s="176"/>
      <c r="K67" s="176"/>
      <c r="L67" s="111"/>
      <c r="M67" s="112">
        <f>(((((2*(B65+C65))*(D65+G65+F65))+((2*(D65+E65))*(B65+H65+F65)))/90)*I65)/1000000</f>
        <v>0</v>
      </c>
      <c r="N67" s="112">
        <f>((IF(M67&lt;=informatieblad!$I$14,informatieblad!$I$14,IF(M67&gt;=informatieblad!$I$14,M67))))</f>
        <v>0.5</v>
      </c>
      <c r="O67" s="158">
        <f>(ROUND((((2*(X67+C65))*(((2*PI()*(X67+F65))*(I65/360))+H65+G65))/1000000),2))</f>
        <v>0</v>
      </c>
      <c r="P67" s="158">
        <f>((IF(O67&lt;=informatieblad!$H$14,informatieblad!$H$14,IF(O67&gt;=informatieblad!$H$14,O67))))</f>
        <v>0</v>
      </c>
      <c r="Q67" s="113">
        <f>((P67*AA67)+(P67*T67))*C67</f>
        <v>0</v>
      </c>
      <c r="R67" s="114">
        <f>((N67*AB67)+(N67*U67))*C67</f>
        <v>0</v>
      </c>
      <c r="S67" s="115" t="str">
        <f>F67</f>
        <v>Options None</v>
      </c>
      <c r="T67" s="115">
        <f>VLOOKUP(F67,informatieblad!$A$37:$D$41,2,FALSE)</f>
        <v>0</v>
      </c>
      <c r="U67" s="115">
        <f>VLOOKUP(F67,informatieblad!$A$37:$D$41,4,FALSE)</f>
        <v>0</v>
      </c>
      <c r="V67" s="180">
        <f>(MAX(B65,C65))</f>
        <v>0</v>
      </c>
      <c r="W67" s="119">
        <f>(MAX(D65,E65))</f>
        <v>0</v>
      </c>
      <c r="X67" s="119">
        <f>(MAX(B65,D65))</f>
        <v>0</v>
      </c>
      <c r="Y67" s="119">
        <f>(MAX(B65:E65))</f>
        <v>0</v>
      </c>
      <c r="Z67" s="119">
        <f>LOOKUP(Y67,informatieblad!$C$27:$C$32,informatieblad!$A$27:$A$32)</f>
        <v>0.5</v>
      </c>
      <c r="AA67" s="118">
        <f>VLOOKUP(Z67,informatieblad!$A$27:$M$32,6,FALSE)</f>
        <v>0</v>
      </c>
      <c r="AB67" s="118">
        <f>VLOOKUP(Z67,informatieblad!$A$27:$M$32,8,FALSE)</f>
        <v>45.1248</v>
      </c>
      <c r="AC67" s="120">
        <f>VLOOKUP(Z67,informatieblad!$A$27:$M$32,13,FALSE)</f>
        <v>4</v>
      </c>
      <c r="AD67" s="121">
        <f>ROUND((AC67*M67),1)</f>
        <v>0</v>
      </c>
      <c r="AF67" s="281">
        <f>IF(B66=AF65,(2*B65)+(2*C65),IF(B66=AF66,(2*B65)+(2*C65),0))*C67</f>
        <v>0</v>
      </c>
      <c r="AG67" s="261">
        <f>IF(D66=AF65,(2*D65)+(2*E65),IF(D66=AF66,(2*D65)+(2*E65),0))*C67</f>
        <v>0</v>
      </c>
      <c r="AH67" s="111">
        <f>IF(B66=AH65,(2*B65)+(2*C65),IF(B66=AH66,(2*B65)+(2*C65),0))*C67</f>
        <v>0</v>
      </c>
      <c r="AI67" s="260">
        <f>IF(D66=AH65,(2*D65)+(2*E65),IF(D66=AH66,(2*D65)+(2*E65),0))*C67</f>
        <v>0</v>
      </c>
      <c r="AJ67" s="261">
        <f>IF(B66=AJ65,(2*B65)+(2*C65),IF(B66=AJ66,(2*B65)+(2*C65),0))*C67</f>
        <v>0</v>
      </c>
      <c r="AK67" s="260">
        <f>IF(D66=AJ65,(2*D65)+(2*E65),IF(D66=AJ66,(2*D65)+(2*E65),0))*C67</f>
        <v>0</v>
      </c>
      <c r="AL67" s="111">
        <f>IF(B66=AL65,(2*B65)+(2*C65),0)*C67</f>
        <v>0</v>
      </c>
      <c r="AM67" s="260">
        <f>IF(D66=AL65,(2*D65)+(2*E65),0)*C67</f>
        <v>0</v>
      </c>
      <c r="AN67" s="83" t="str">
        <f>'UC mounting materials '!$B$11</f>
        <v>Rail 41x41</v>
      </c>
      <c r="AO67" s="268">
        <f>IF(Y67&gt;999,(Y67+100),0)*C67</f>
        <v>0</v>
      </c>
      <c r="AQ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AR67" s="275" t="str">
        <f>IF(D66=informatieblad!$A$6,informatieblad!$B$6,IF(D66=informatieblad!$A$7,informatieblad!$B$7,IF(D66=informatieblad!$A$8,informatieblad!$B$8,IF(D66=informatieblad!$A$2,informatieblad!$B$2,IF(D66=informatieblad!$A$3,informatieblad!$B$3,IF(D66=informatieblad!$A$4,informatieblad!$B$4,IF(D66=informatieblad!$A$5,informatieblad!$B$5,"")))))))</f>
        <v/>
      </c>
      <c r="AS67" s="276">
        <f>IF(AQ67=AS65,(4*C67),0)</f>
        <v>0</v>
      </c>
      <c r="AT67" s="276">
        <f>IF(AR67=AS65,(4*C67),0)</f>
        <v>0</v>
      </c>
      <c r="AU67" s="276">
        <f>IF(AQ67=AU65,(4*C67),0)</f>
        <v>0</v>
      </c>
      <c r="AV67" s="274">
        <f>IF(AR67=AU65,(4*C67),0)</f>
        <v>0</v>
      </c>
    </row>
    <row r="68" spans="1:48" ht="5.0999999999999996" customHeight="1" thickBot="1">
      <c r="A68" s="145"/>
      <c r="B68" s="122"/>
      <c r="C68" s="122"/>
      <c r="D68" s="122"/>
      <c r="E68" s="122"/>
      <c r="F68" s="122"/>
      <c r="G68" s="122"/>
      <c r="H68" s="122"/>
      <c r="I68" s="146"/>
    </row>
    <row r="69" spans="1:48" ht="15.75" customHeight="1" thickBot="1">
      <c r="A69" s="445"/>
      <c r="B69" s="96"/>
      <c r="C69" s="96"/>
      <c r="D69" s="96"/>
      <c r="E69" s="167">
        <f>C69</f>
        <v>0</v>
      </c>
      <c r="F69" s="177">
        <f>(B69&gt;0)*$I$10</f>
        <v>0</v>
      </c>
      <c r="G69" s="177">
        <f>(B69&gt;0)*$I$11</f>
        <v>0</v>
      </c>
      <c r="H69" s="177">
        <f>(B69&gt;0)*$I$12</f>
        <v>0</v>
      </c>
      <c r="I69" s="178"/>
      <c r="J69" s="345" t="s">
        <v>20</v>
      </c>
      <c r="K69" s="83"/>
      <c r="L69" s="97" t="s">
        <v>14</v>
      </c>
      <c r="M69" s="98" t="s">
        <v>27</v>
      </c>
      <c r="N69" s="98" t="s">
        <v>28</v>
      </c>
      <c r="O69" s="98" t="s">
        <v>27</v>
      </c>
      <c r="P69" s="98" t="s">
        <v>28</v>
      </c>
      <c r="Q69" s="98" t="s">
        <v>29</v>
      </c>
      <c r="R69" s="66" t="s">
        <v>30</v>
      </c>
      <c r="S69" s="153" t="s">
        <v>31</v>
      </c>
      <c r="T69" s="153"/>
      <c r="U69" s="153"/>
      <c r="V69" s="154" t="s">
        <v>83</v>
      </c>
      <c r="W69" s="100" t="s">
        <v>83</v>
      </c>
      <c r="X69" s="100" t="s">
        <v>83</v>
      </c>
      <c r="Y69" s="100" t="s">
        <v>33</v>
      </c>
      <c r="Z69" s="100" t="s">
        <v>34</v>
      </c>
      <c r="AA69" s="98" t="s">
        <v>32</v>
      </c>
      <c r="AB69" s="98" t="s">
        <v>32</v>
      </c>
      <c r="AC69" s="98" t="s">
        <v>49</v>
      </c>
      <c r="AD69" s="101" t="s">
        <v>36</v>
      </c>
      <c r="AF69" s="97" t="str">
        <f>informatieblad!$A$6</f>
        <v>FL20</v>
      </c>
      <c r="AG69" s="99"/>
      <c r="AH69" s="97" t="str">
        <f>informatieblad!$A$7</f>
        <v>FL30</v>
      </c>
      <c r="AI69" s="66"/>
      <c r="AJ69" s="99" t="str">
        <f>informatieblad!$A$8</f>
        <v>FL40</v>
      </c>
      <c r="AK69" s="66"/>
      <c r="AL69" s="97" t="str">
        <f>informatieblad!$A$5</f>
        <v>none</v>
      </c>
      <c r="AM69" s="264"/>
      <c r="AO69" s="266" t="s">
        <v>37</v>
      </c>
      <c r="AQ69" s="269" t="s">
        <v>38</v>
      </c>
      <c r="AR69" s="272"/>
      <c r="AS69" s="272">
        <f>informatieblad!$B$3</f>
        <v>0</v>
      </c>
      <c r="AT69" s="272">
        <f>informatieblad!$B$3</f>
        <v>0</v>
      </c>
      <c r="AU69" s="272">
        <f>informatieblad!$B$4</f>
        <v>0</v>
      </c>
      <c r="AV69" s="264">
        <f>informatieblad!$B$4</f>
        <v>0</v>
      </c>
    </row>
    <row r="70" spans="1:48" ht="15.75" customHeight="1">
      <c r="A70" s="475"/>
      <c r="B70" s="479" t="str">
        <f>IF($C71&gt;0,IF(MAX(B69:C69)&lt;informatieblad!$Q$4,informatieblad!$P$3,IF(MAX(B69:C69)&gt;informatieblad!$R$4,informatieblad!$P$5,informatieblad!$P$4)),"")</f>
        <v/>
      </c>
      <c r="C70" s="480"/>
      <c r="D70" s="479" t="str">
        <f>IF($C71&gt;0,IF(MAX(D69:E69)&lt;informatieblad!$Q$4,informatieblad!$P$3,IF(MAX(D69:E69)&gt;informatieblad!$R$4,informatieblad!$P$5,informatieblad!$P$4)),"")</f>
        <v/>
      </c>
      <c r="E70" s="480"/>
      <c r="F70" s="173" t="str">
        <f>A69&amp;"-"&amp;informatieblad!$B$14&amp;"-"&amp;B69&amp;"-"&amp;C69&amp;"-"&amp;D69&amp;"-"&amp;E69&amp;"-"&amp;F69&amp;"-"&amp;G69&amp;"-"&amp;H69&amp;"-"&amp;I69&amp;"-"&amp;B70&amp;"-"&amp;D70&amp;"-"&amp;F71</f>
        <v>-RctB----0-0-0-0----Options None</v>
      </c>
      <c r="G70" s="174"/>
      <c r="H70" s="179"/>
      <c r="I70" s="175"/>
      <c r="J70" s="83"/>
      <c r="K70" s="83"/>
      <c r="L70" s="103">
        <f>A69</f>
        <v>0</v>
      </c>
      <c r="M70" s="104" t="s">
        <v>39</v>
      </c>
      <c r="N70" s="104" t="s">
        <v>39</v>
      </c>
      <c r="O70" s="104" t="s">
        <v>40</v>
      </c>
      <c r="P70" s="104" t="s">
        <v>40</v>
      </c>
      <c r="Q70" s="104" t="s">
        <v>40</v>
      </c>
      <c r="R70" s="105"/>
      <c r="S70" s="155" t="s">
        <v>27</v>
      </c>
      <c r="T70" s="155" t="s">
        <v>40</v>
      </c>
      <c r="U70" s="155" t="s">
        <v>41</v>
      </c>
      <c r="V70" s="156" t="s">
        <v>107</v>
      </c>
      <c r="W70" s="104" t="s">
        <v>108</v>
      </c>
      <c r="X70" s="107" t="s">
        <v>91</v>
      </c>
      <c r="Y70" s="107"/>
      <c r="Z70" s="107"/>
      <c r="AA70" s="104" t="s">
        <v>40</v>
      </c>
      <c r="AB70" s="104" t="s">
        <v>41</v>
      </c>
      <c r="AC70" s="108"/>
      <c r="AD70" s="109"/>
      <c r="AF70" s="262" t="str">
        <f>informatieblad!$A$2</f>
        <v>FL20 loose</v>
      </c>
      <c r="AG70" s="263"/>
      <c r="AH70" s="262" t="str">
        <f>informatieblad!$A$3</f>
        <v>FL30 loose</v>
      </c>
      <c r="AI70" s="105"/>
      <c r="AJ70" s="263" t="str">
        <f>informatieblad!$A$4</f>
        <v>FL40 loose</v>
      </c>
      <c r="AK70" s="105"/>
      <c r="AL70" s="265"/>
      <c r="AM70" s="105"/>
      <c r="AN70" s="83" t="str">
        <f>'UC mounting materials '!$B$10</f>
        <v>Rail 30x15</v>
      </c>
      <c r="AO70" s="327">
        <f>IF(Y71&lt;1000,(Y71+100),0)*C71</f>
        <v>0</v>
      </c>
      <c r="AQ70" s="265" t="s">
        <v>47</v>
      </c>
      <c r="AR70" s="106" t="s">
        <v>48</v>
      </c>
      <c r="AS70" s="83" t="s">
        <v>23</v>
      </c>
      <c r="AT70" s="83" t="s">
        <v>23</v>
      </c>
      <c r="AU70" s="83" t="s">
        <v>23</v>
      </c>
      <c r="AV70" s="273" t="s">
        <v>23</v>
      </c>
    </row>
    <row r="71" spans="1:48" ht="15.75" customHeight="1" thickBot="1">
      <c r="A71" s="447"/>
      <c r="B71" s="92" t="s">
        <v>23</v>
      </c>
      <c r="C71" s="110"/>
      <c r="D71" s="94">
        <f>C71*N71</f>
        <v>0</v>
      </c>
      <c r="E71" s="141" t="s">
        <v>24</v>
      </c>
      <c r="F71" s="451" t="s">
        <v>25</v>
      </c>
      <c r="G71" s="452"/>
      <c r="H71" s="452"/>
      <c r="I71" s="453"/>
      <c r="J71" s="176"/>
      <c r="K71" s="176"/>
      <c r="L71" s="111"/>
      <c r="M71" s="112">
        <f>(((((2*(B69+C69))*(D69+G69+F69))+((2*(D69+E69))*(B69+H69+F69)))/90)*I69)/1000000</f>
        <v>0</v>
      </c>
      <c r="N71" s="112">
        <f>((IF(M71&lt;=informatieblad!$I$14,informatieblad!$I$14,IF(M71&gt;=informatieblad!$I$14,M71))))</f>
        <v>0.5</v>
      </c>
      <c r="O71" s="158">
        <f>(ROUND((((2*(X71+C69))*(((2*PI()*(X71+F69))*(I69/360))+H69+G69))/1000000),2))</f>
        <v>0</v>
      </c>
      <c r="P71" s="158">
        <f>((IF(O71&lt;=informatieblad!$H$14,informatieblad!$H$14,IF(O71&gt;=informatieblad!$H$14,O71))))</f>
        <v>0</v>
      </c>
      <c r="Q71" s="113">
        <f>((P71*AA71)+(P71*T71))*C71</f>
        <v>0</v>
      </c>
      <c r="R71" s="114">
        <f>((N71*AB71)+(N71*U71))*C71</f>
        <v>0</v>
      </c>
      <c r="S71" s="115" t="str">
        <f>F71</f>
        <v>Options None</v>
      </c>
      <c r="T71" s="115">
        <f>VLOOKUP(F71,informatieblad!$A$37:$D$41,2,FALSE)</f>
        <v>0</v>
      </c>
      <c r="U71" s="115">
        <f>VLOOKUP(F71,informatieblad!$A$37:$D$41,4,FALSE)</f>
        <v>0</v>
      </c>
      <c r="V71" s="180">
        <f>(MAX(B69,C69))</f>
        <v>0</v>
      </c>
      <c r="W71" s="119">
        <f>(MAX(D69,E69))</f>
        <v>0</v>
      </c>
      <c r="X71" s="119">
        <f>(MAX(B69,D69))</f>
        <v>0</v>
      </c>
      <c r="Y71" s="119">
        <f>(MAX(B69:E69))</f>
        <v>0</v>
      </c>
      <c r="Z71" s="119">
        <f>LOOKUP(Y71,informatieblad!$C$27:$C$32,informatieblad!$A$27:$A$32)</f>
        <v>0.5</v>
      </c>
      <c r="AA71" s="118">
        <f>VLOOKUP(Z71,informatieblad!$A$27:$M$32,6,FALSE)</f>
        <v>0</v>
      </c>
      <c r="AB71" s="118">
        <f>VLOOKUP(Z71,informatieblad!$A$27:$M$32,8,FALSE)</f>
        <v>45.1248</v>
      </c>
      <c r="AC71" s="120">
        <f>VLOOKUP(Z71,informatieblad!$A$27:$M$32,13,FALSE)</f>
        <v>4</v>
      </c>
      <c r="AD71" s="121">
        <f>ROUND((AC71*M71),1)</f>
        <v>0</v>
      </c>
      <c r="AF71" s="281">
        <f>IF(B70=AF69,(2*B69)+(2*C69),IF(B70=AF70,(2*B69)+(2*C69),0))*C71</f>
        <v>0</v>
      </c>
      <c r="AG71" s="261">
        <f>IF(D70=AF69,(2*D69)+(2*E69),IF(D70=AF70,(2*D69)+(2*E69),0))*C71</f>
        <v>0</v>
      </c>
      <c r="AH71" s="111">
        <f>IF(B70=AH69,(2*B69)+(2*C69),IF(B70=AH70,(2*B69)+(2*C69),0))*C71</f>
        <v>0</v>
      </c>
      <c r="AI71" s="260">
        <f>IF(D70=AH69,(2*D69)+(2*E69),IF(D70=AH70,(2*D69)+(2*E69),0))*C71</f>
        <v>0</v>
      </c>
      <c r="AJ71" s="261">
        <f>IF(B70=AJ69,(2*B69)+(2*C69),IF(B70=AJ70,(2*B69)+(2*C69),0))*C71</f>
        <v>0</v>
      </c>
      <c r="AK71" s="260">
        <f>IF(D70=AJ69,(2*D69)+(2*E69),IF(D70=AJ70,(2*D69)+(2*E69),0))*C71</f>
        <v>0</v>
      </c>
      <c r="AL71" s="111">
        <f>IF(B70=AL69,(2*B69)+(2*C69),0)*C71</f>
        <v>0</v>
      </c>
      <c r="AM71" s="260">
        <f>IF(D70=AL69,(2*D69)+(2*E69),0)*C71</f>
        <v>0</v>
      </c>
      <c r="AN71" s="83" t="str">
        <f>'UC mounting materials '!$B$11</f>
        <v>Rail 41x41</v>
      </c>
      <c r="AO71" s="268">
        <f>IF(Y71&gt;999,(Y71+100),0)*C71</f>
        <v>0</v>
      </c>
      <c r="AQ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AR71" s="275" t="str">
        <f>IF(D70=informatieblad!$A$6,informatieblad!$B$6,IF(D70=informatieblad!$A$7,informatieblad!$B$7,IF(D70=informatieblad!$A$8,informatieblad!$B$8,IF(D70=informatieblad!$A$2,informatieblad!$B$2,IF(D70=informatieblad!$A$3,informatieblad!$B$3,IF(D70=informatieblad!$A$4,informatieblad!$B$4,IF(D70=informatieblad!$A$5,informatieblad!$B$5,"")))))))</f>
        <v/>
      </c>
      <c r="AS71" s="276">
        <f>IF(AQ71=AS69,(4*C71),0)</f>
        <v>0</v>
      </c>
      <c r="AT71" s="276">
        <f>IF(AR71=AS69,(4*C71),0)</f>
        <v>0</v>
      </c>
      <c r="AU71" s="276">
        <f>IF(AQ71=AU69,(4*C71),0)</f>
        <v>0</v>
      </c>
      <c r="AV71" s="274">
        <f>IF(AR71=AU69,(4*C71),0)</f>
        <v>0</v>
      </c>
    </row>
    <row r="72" spans="1:48" ht="5.0999999999999996" customHeight="1" thickBot="1">
      <c r="A72" s="145"/>
      <c r="B72" s="122"/>
      <c r="C72" s="122"/>
      <c r="D72" s="122"/>
      <c r="E72" s="122"/>
      <c r="F72" s="122"/>
      <c r="G72" s="122"/>
      <c r="H72" s="122"/>
      <c r="I72" s="146"/>
    </row>
    <row r="73" spans="1:48" ht="15.75" customHeight="1" thickBot="1">
      <c r="A73" s="445"/>
      <c r="B73" s="96"/>
      <c r="C73" s="96"/>
      <c r="D73" s="96"/>
      <c r="E73" s="167">
        <f>C73</f>
        <v>0</v>
      </c>
      <c r="F73" s="177">
        <f>(B73&gt;0)*$I$10</f>
        <v>0</v>
      </c>
      <c r="G73" s="177">
        <f>(B73&gt;0)*$I$11</f>
        <v>0</v>
      </c>
      <c r="H73" s="177">
        <f>(B73&gt;0)*$I$12</f>
        <v>0</v>
      </c>
      <c r="I73" s="178"/>
      <c r="J73" s="345" t="s">
        <v>20</v>
      </c>
      <c r="K73" s="83"/>
      <c r="L73" s="97" t="s">
        <v>14</v>
      </c>
      <c r="M73" s="98" t="s">
        <v>27</v>
      </c>
      <c r="N73" s="98" t="s">
        <v>28</v>
      </c>
      <c r="O73" s="98"/>
      <c r="P73" s="98" t="s">
        <v>28</v>
      </c>
      <c r="Q73" s="98" t="s">
        <v>29</v>
      </c>
      <c r="R73" s="66" t="s">
        <v>30</v>
      </c>
      <c r="S73" s="153" t="s">
        <v>31</v>
      </c>
      <c r="T73" s="153"/>
      <c r="U73" s="153"/>
      <c r="V73" s="154" t="s">
        <v>83</v>
      </c>
      <c r="W73" s="100" t="s">
        <v>83</v>
      </c>
      <c r="X73" s="100" t="s">
        <v>83</v>
      </c>
      <c r="Y73" s="100" t="s">
        <v>33</v>
      </c>
      <c r="Z73" s="100" t="s">
        <v>34</v>
      </c>
      <c r="AA73" s="98" t="s">
        <v>32</v>
      </c>
      <c r="AB73" s="98" t="s">
        <v>32</v>
      </c>
      <c r="AC73" s="98" t="s">
        <v>49</v>
      </c>
      <c r="AD73" s="101" t="s">
        <v>36</v>
      </c>
      <c r="AF73" s="97" t="str">
        <f>informatieblad!$A$6</f>
        <v>FL20</v>
      </c>
      <c r="AG73" s="99"/>
      <c r="AH73" s="97" t="str">
        <f>informatieblad!$A$7</f>
        <v>FL30</v>
      </c>
      <c r="AI73" s="66"/>
      <c r="AJ73" s="99" t="str">
        <f>informatieblad!$A$8</f>
        <v>FL40</v>
      </c>
      <c r="AK73" s="66"/>
      <c r="AL73" s="97" t="str">
        <f>informatieblad!$A$5</f>
        <v>none</v>
      </c>
      <c r="AM73" s="264"/>
      <c r="AO73" s="266" t="s">
        <v>37</v>
      </c>
      <c r="AQ73" s="269" t="s">
        <v>38</v>
      </c>
      <c r="AR73" s="272"/>
      <c r="AS73" s="272">
        <f>informatieblad!$B$3</f>
        <v>0</v>
      </c>
      <c r="AT73" s="272">
        <f>informatieblad!$B$3</f>
        <v>0</v>
      </c>
      <c r="AU73" s="272">
        <f>informatieblad!$B$4</f>
        <v>0</v>
      </c>
      <c r="AV73" s="264">
        <f>informatieblad!$B$4</f>
        <v>0</v>
      </c>
    </row>
    <row r="74" spans="1:48" ht="15.75" customHeight="1">
      <c r="A74" s="475"/>
      <c r="B74" s="479" t="str">
        <f>IF($C75&gt;0,IF(MAX(B73:C73)&lt;informatieblad!$Q$4,informatieblad!$P$3,IF(MAX(B73:C73)&gt;informatieblad!$R$4,informatieblad!$P$5,informatieblad!$P$4)),"")</f>
        <v/>
      </c>
      <c r="C74" s="480"/>
      <c r="D74" s="479" t="str">
        <f>IF($C75&gt;0,IF(MAX(D73:E73)&lt;informatieblad!$Q$4,informatieblad!$P$3,IF(MAX(D73:E73)&gt;informatieblad!$R$4,informatieblad!$P$5,informatieblad!$P$4)),"")</f>
        <v/>
      </c>
      <c r="E74" s="480"/>
      <c r="F74" s="173" t="str">
        <f>A73&amp;"-"&amp;informatieblad!$B$14&amp;"-"&amp;B73&amp;"-"&amp;C73&amp;"-"&amp;D73&amp;"-"&amp;E73&amp;"-"&amp;F73&amp;"-"&amp;G73&amp;"-"&amp;H73&amp;"-"&amp;I73&amp;"-"&amp;B74&amp;"-"&amp;D74&amp;"-"&amp;F75</f>
        <v>-RctB----0-0-0-0----Options None</v>
      </c>
      <c r="G74" s="174"/>
      <c r="H74" s="179"/>
      <c r="I74" s="175"/>
      <c r="J74" s="83"/>
      <c r="K74" s="83"/>
      <c r="L74" s="103">
        <f>A73</f>
        <v>0</v>
      </c>
      <c r="M74" s="104" t="s">
        <v>39</v>
      </c>
      <c r="N74" s="104" t="s">
        <v>39</v>
      </c>
      <c r="O74" s="104" t="s">
        <v>40</v>
      </c>
      <c r="P74" s="104" t="s">
        <v>40</v>
      </c>
      <c r="Q74" s="104" t="s">
        <v>40</v>
      </c>
      <c r="R74" s="105"/>
      <c r="S74" s="155" t="s">
        <v>27</v>
      </c>
      <c r="T74" s="155" t="s">
        <v>40</v>
      </c>
      <c r="U74" s="155" t="s">
        <v>41</v>
      </c>
      <c r="V74" s="156" t="s">
        <v>107</v>
      </c>
      <c r="W74" s="104" t="s">
        <v>108</v>
      </c>
      <c r="X74" s="107" t="s">
        <v>91</v>
      </c>
      <c r="Y74" s="107"/>
      <c r="Z74" s="107"/>
      <c r="AA74" s="104" t="s">
        <v>40</v>
      </c>
      <c r="AB74" s="104" t="s">
        <v>41</v>
      </c>
      <c r="AC74" s="108"/>
      <c r="AD74" s="109"/>
      <c r="AF74" s="262" t="str">
        <f>informatieblad!$A$2</f>
        <v>FL20 loose</v>
      </c>
      <c r="AG74" s="263"/>
      <c r="AH74" s="262" t="str">
        <f>informatieblad!$A$3</f>
        <v>FL30 loose</v>
      </c>
      <c r="AI74" s="105"/>
      <c r="AJ74" s="263" t="str">
        <f>informatieblad!$A$4</f>
        <v>FL40 loose</v>
      </c>
      <c r="AK74" s="105"/>
      <c r="AL74" s="265"/>
      <c r="AM74" s="105"/>
      <c r="AN74" s="83" t="str">
        <f>'UC mounting materials '!$B$10</f>
        <v>Rail 30x15</v>
      </c>
      <c r="AO74" s="327">
        <f>IF(Y75&lt;1000,(Y75+100),0)*C75</f>
        <v>0</v>
      </c>
      <c r="AQ74" s="265" t="s">
        <v>47</v>
      </c>
      <c r="AR74" s="106" t="s">
        <v>48</v>
      </c>
      <c r="AS74" s="83" t="s">
        <v>23</v>
      </c>
      <c r="AT74" s="83" t="s">
        <v>23</v>
      </c>
      <c r="AU74" s="83" t="s">
        <v>23</v>
      </c>
      <c r="AV74" s="273" t="s">
        <v>23</v>
      </c>
    </row>
    <row r="75" spans="1:48" ht="15.75" customHeight="1" thickBot="1">
      <c r="A75" s="447"/>
      <c r="B75" s="92" t="s">
        <v>23</v>
      </c>
      <c r="C75" s="110"/>
      <c r="D75" s="94">
        <f>C75*N75</f>
        <v>0</v>
      </c>
      <c r="E75" s="141" t="s">
        <v>24</v>
      </c>
      <c r="F75" s="451" t="s">
        <v>25</v>
      </c>
      <c r="G75" s="452"/>
      <c r="H75" s="452"/>
      <c r="I75" s="453"/>
      <c r="J75" s="176"/>
      <c r="K75" s="176"/>
      <c r="L75" s="111"/>
      <c r="M75" s="112">
        <f>(((((2*(B73+C73))*(D73+G73+F73))+((2*(D73+E73))*(B73+H73+F73)))/90)*I73)/1000000</f>
        <v>0</v>
      </c>
      <c r="N75" s="112">
        <f>((IF(M75&lt;=informatieblad!$I$14,informatieblad!$I$14,IF(M75&gt;=informatieblad!$I$14,M75))))</f>
        <v>0.5</v>
      </c>
      <c r="O75" s="158">
        <f>(ROUND((((2*(X75+C73))*(((2*PI()*(X75+F73))*(I73/360))+H73+G73))/1000000),2))</f>
        <v>0</v>
      </c>
      <c r="P75" s="158">
        <f>((IF(O75&lt;=informatieblad!$H$14,informatieblad!$H$14,IF(O75&gt;=informatieblad!$H$14,O75))))</f>
        <v>0</v>
      </c>
      <c r="Q75" s="113">
        <f>((P75*AA75)+(P75*T75))*C75</f>
        <v>0</v>
      </c>
      <c r="R75" s="114">
        <f>((N75*AB75)+(N75*U75))*C75</f>
        <v>0</v>
      </c>
      <c r="S75" s="115" t="str">
        <f>F75</f>
        <v>Options None</v>
      </c>
      <c r="T75" s="115">
        <f>VLOOKUP(F75,informatieblad!$A$37:$D$41,2,FALSE)</f>
        <v>0</v>
      </c>
      <c r="U75" s="115">
        <f>VLOOKUP(F75,informatieblad!$A$37:$D$41,4,FALSE)</f>
        <v>0</v>
      </c>
      <c r="V75" s="180">
        <f>(MAX(B73,C73))</f>
        <v>0</v>
      </c>
      <c r="W75" s="119">
        <f>(MAX(D73,E73))</f>
        <v>0</v>
      </c>
      <c r="X75" s="119">
        <f>(MAX(B73,D73))</f>
        <v>0</v>
      </c>
      <c r="Y75" s="119">
        <f>(MAX(B73:E73))</f>
        <v>0</v>
      </c>
      <c r="Z75" s="119">
        <f>LOOKUP(Y75,informatieblad!$C$27:$C$32,informatieblad!$A$27:$A$32)</f>
        <v>0.5</v>
      </c>
      <c r="AA75" s="118">
        <f>VLOOKUP(Z75,informatieblad!$A$27:$M$32,6,FALSE)</f>
        <v>0</v>
      </c>
      <c r="AB75" s="118">
        <f>VLOOKUP(Z75,informatieblad!$A$27:$M$32,8,FALSE)</f>
        <v>45.1248</v>
      </c>
      <c r="AC75" s="120">
        <f>VLOOKUP(Z75,informatieblad!$A$27:$M$32,13,FALSE)</f>
        <v>4</v>
      </c>
      <c r="AD75" s="121">
        <f>ROUND((AC75*M75),1)</f>
        <v>0</v>
      </c>
      <c r="AF75" s="281">
        <f>IF(B74=AF73,(2*B73)+(2*C73),IF(B74=AF74,(2*B73)+(2*C73),0))*C75</f>
        <v>0</v>
      </c>
      <c r="AG75" s="261">
        <f>IF(D74=AF73,(2*D73)+(2*E73),IF(D74=AF74,(2*D73)+(2*E73),0))*C75</f>
        <v>0</v>
      </c>
      <c r="AH75" s="111">
        <f>IF(B74=AH73,(2*B73)+(2*C73),IF(B74=AH74,(2*B73)+(2*C73),0))*C75</f>
        <v>0</v>
      </c>
      <c r="AI75" s="260">
        <f>IF(D74=AH73,(2*D73)+(2*E73),IF(D74=AH74,(2*D73)+(2*E73),0))*C75</f>
        <v>0</v>
      </c>
      <c r="AJ75" s="261">
        <f>IF(B74=AJ73,(2*B73)+(2*C73),IF(B74=AJ74,(2*B73)+(2*C73),0))*C75</f>
        <v>0</v>
      </c>
      <c r="AK75" s="260">
        <f>IF(D74=AJ73,(2*D73)+(2*E73),IF(D74=AJ74,(2*D73)+(2*E73),0))*C75</f>
        <v>0</v>
      </c>
      <c r="AL75" s="111">
        <f>IF(B74=AL73,(2*B73)+(2*C73),0)*C75</f>
        <v>0</v>
      </c>
      <c r="AM75" s="260">
        <f>IF(D74=AL73,(2*D73)+(2*E73),0)*C75</f>
        <v>0</v>
      </c>
      <c r="AN75" s="83" t="str">
        <f>'UC mounting materials '!$B$11</f>
        <v>Rail 41x41</v>
      </c>
      <c r="AO75" s="268">
        <f>IF(Y75&gt;999,(Y75+100),0)*C75</f>
        <v>0</v>
      </c>
      <c r="AQ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AR75" s="275" t="str">
        <f>IF(D74=informatieblad!$A$6,informatieblad!$B$6,IF(D74=informatieblad!$A$7,informatieblad!$B$7,IF(D74=informatieblad!$A$8,informatieblad!$B$8,IF(D74=informatieblad!$A$2,informatieblad!$B$2,IF(D74=informatieblad!$A$3,informatieblad!$B$3,IF(D74=informatieblad!$A$4,informatieblad!$B$4,IF(D74=informatieblad!$A$5,informatieblad!$B$5,"")))))))</f>
        <v/>
      </c>
      <c r="AS75" s="276">
        <f>IF(AQ75=AS73,(4*C75),0)</f>
        <v>0</v>
      </c>
      <c r="AT75" s="276">
        <f>IF(AR75=AS73,(4*C75),0)</f>
        <v>0</v>
      </c>
      <c r="AU75" s="276">
        <f>IF(AQ75=AU73,(4*C75),0)</f>
        <v>0</v>
      </c>
      <c r="AV75" s="274">
        <f>IF(AR75=AU73,(4*C75),0)</f>
        <v>0</v>
      </c>
    </row>
    <row r="76" spans="1:48" ht="5.0999999999999996" customHeight="1" thickBot="1">
      <c r="A76" s="145"/>
      <c r="B76" s="122"/>
      <c r="C76" s="122"/>
      <c r="D76" s="122"/>
      <c r="E76" s="122"/>
      <c r="F76" s="122"/>
      <c r="G76" s="122"/>
      <c r="H76" s="122"/>
      <c r="I76" s="146"/>
    </row>
    <row r="77" spans="1:48" ht="15.75" customHeight="1" thickBot="1">
      <c r="A77" s="445"/>
      <c r="B77" s="96"/>
      <c r="C77" s="96"/>
      <c r="D77" s="96"/>
      <c r="E77" s="167">
        <f>C77</f>
        <v>0</v>
      </c>
      <c r="F77" s="177">
        <f>(B77&gt;0)*$I$10</f>
        <v>0</v>
      </c>
      <c r="G77" s="177">
        <f>(B77&gt;0)*$I$11</f>
        <v>0</v>
      </c>
      <c r="H77" s="177">
        <f>(B77&gt;0)*$I$12</f>
        <v>0</v>
      </c>
      <c r="I77" s="178"/>
      <c r="J77" s="345" t="s">
        <v>20</v>
      </c>
      <c r="K77" s="83"/>
      <c r="L77" s="97" t="s">
        <v>14</v>
      </c>
      <c r="M77" s="98" t="s">
        <v>27</v>
      </c>
      <c r="N77" s="98" t="s">
        <v>28</v>
      </c>
      <c r="O77" s="98" t="s">
        <v>27</v>
      </c>
      <c r="P77" s="98" t="s">
        <v>28</v>
      </c>
      <c r="Q77" s="98" t="s">
        <v>29</v>
      </c>
      <c r="R77" s="66" t="s">
        <v>30</v>
      </c>
      <c r="S77" s="153" t="s">
        <v>31</v>
      </c>
      <c r="T77" s="153"/>
      <c r="U77" s="153"/>
      <c r="V77" s="154" t="s">
        <v>83</v>
      </c>
      <c r="W77" s="100" t="s">
        <v>83</v>
      </c>
      <c r="X77" s="100" t="s">
        <v>83</v>
      </c>
      <c r="Y77" s="100" t="s">
        <v>33</v>
      </c>
      <c r="Z77" s="100" t="s">
        <v>34</v>
      </c>
      <c r="AA77" s="98" t="s">
        <v>32</v>
      </c>
      <c r="AB77" s="98" t="s">
        <v>32</v>
      </c>
      <c r="AC77" s="98" t="s">
        <v>49</v>
      </c>
      <c r="AD77" s="101" t="s">
        <v>36</v>
      </c>
      <c r="AF77" s="97" t="str">
        <f>informatieblad!$A$6</f>
        <v>FL20</v>
      </c>
      <c r="AG77" s="99"/>
      <c r="AH77" s="97" t="str">
        <f>informatieblad!$A$7</f>
        <v>FL30</v>
      </c>
      <c r="AI77" s="66"/>
      <c r="AJ77" s="99" t="str">
        <f>informatieblad!$A$8</f>
        <v>FL40</v>
      </c>
      <c r="AK77" s="66"/>
      <c r="AL77" s="97" t="str">
        <f>informatieblad!$A$5</f>
        <v>none</v>
      </c>
      <c r="AM77" s="264"/>
      <c r="AO77" s="266" t="s">
        <v>37</v>
      </c>
      <c r="AQ77" s="269" t="s">
        <v>38</v>
      </c>
      <c r="AR77" s="272"/>
      <c r="AS77" s="272">
        <f>informatieblad!$B$3</f>
        <v>0</v>
      </c>
      <c r="AT77" s="272">
        <f>informatieblad!$B$3</f>
        <v>0</v>
      </c>
      <c r="AU77" s="272">
        <f>informatieblad!$B$4</f>
        <v>0</v>
      </c>
      <c r="AV77" s="264">
        <f>informatieblad!$B$4</f>
        <v>0</v>
      </c>
    </row>
    <row r="78" spans="1:48" ht="15.75" customHeight="1">
      <c r="A78" s="467"/>
      <c r="B78" s="479" t="str">
        <f>IF($C79&gt;0,IF(MAX(B77:C77)&lt;informatieblad!$Q$4,informatieblad!$P$3,IF(MAX(B77:C77)&gt;informatieblad!$R$4,informatieblad!$P$5,informatieblad!$P$4)),"")</f>
        <v/>
      </c>
      <c r="C78" s="480"/>
      <c r="D78" s="479" t="str">
        <f>IF($C79&gt;0,IF(MAX(D77:E77)&lt;informatieblad!$Q$4,informatieblad!$P$3,IF(MAX(D77:E77)&gt;informatieblad!$R$4,informatieblad!$P$5,informatieblad!$P$4)),"")</f>
        <v/>
      </c>
      <c r="E78" s="480"/>
      <c r="F78" s="173" t="str">
        <f>A77&amp;"-"&amp;informatieblad!$B$14&amp;"-"&amp;B77&amp;"-"&amp;C77&amp;"-"&amp;D77&amp;"-"&amp;E77&amp;"-"&amp;F77&amp;"-"&amp;G77&amp;"-"&amp;H77&amp;"-"&amp;I77&amp;"-"&amp;B78&amp;"-"&amp;D78&amp;"-"&amp;F79</f>
        <v>-RctB----0-0-0-0----Options None</v>
      </c>
      <c r="G78" s="174"/>
      <c r="H78" s="179"/>
      <c r="I78" s="175"/>
      <c r="J78" s="83"/>
      <c r="K78" s="83"/>
      <c r="L78" s="103">
        <f>A77</f>
        <v>0</v>
      </c>
      <c r="M78" s="104" t="s">
        <v>39</v>
      </c>
      <c r="N78" s="104" t="s">
        <v>39</v>
      </c>
      <c r="O78" s="104" t="s">
        <v>40</v>
      </c>
      <c r="P78" s="104" t="s">
        <v>40</v>
      </c>
      <c r="Q78" s="104" t="s">
        <v>40</v>
      </c>
      <c r="R78" s="105"/>
      <c r="S78" s="155" t="s">
        <v>27</v>
      </c>
      <c r="T78" s="155" t="s">
        <v>40</v>
      </c>
      <c r="U78" s="155" t="s">
        <v>41</v>
      </c>
      <c r="V78" s="156" t="s">
        <v>107</v>
      </c>
      <c r="W78" s="104" t="s">
        <v>108</v>
      </c>
      <c r="X78" s="107" t="s">
        <v>91</v>
      </c>
      <c r="Y78" s="107"/>
      <c r="Z78" s="107"/>
      <c r="AA78" s="104" t="s">
        <v>40</v>
      </c>
      <c r="AB78" s="104" t="s">
        <v>41</v>
      </c>
      <c r="AC78" s="108"/>
      <c r="AD78" s="109"/>
      <c r="AF78" s="262" t="str">
        <f>informatieblad!$A$2</f>
        <v>FL20 loose</v>
      </c>
      <c r="AG78" s="263"/>
      <c r="AH78" s="262" t="str">
        <f>informatieblad!$A$3</f>
        <v>FL30 loose</v>
      </c>
      <c r="AI78" s="105"/>
      <c r="AJ78" s="263" t="str">
        <f>informatieblad!$A$4</f>
        <v>FL40 loose</v>
      </c>
      <c r="AK78" s="105"/>
      <c r="AL78" s="265"/>
      <c r="AM78" s="105"/>
      <c r="AN78" s="83" t="str">
        <f>'UC mounting materials '!$B$10</f>
        <v>Rail 30x15</v>
      </c>
      <c r="AO78" s="327">
        <f>IF(Y79&lt;1000,(Y79+100),0)*C79</f>
        <v>0</v>
      </c>
      <c r="AQ78" s="265" t="s">
        <v>47</v>
      </c>
      <c r="AR78" s="106" t="s">
        <v>48</v>
      </c>
      <c r="AS78" s="83" t="s">
        <v>23</v>
      </c>
      <c r="AT78" s="83" t="s">
        <v>23</v>
      </c>
      <c r="AU78" s="83" t="s">
        <v>23</v>
      </c>
      <c r="AV78" s="273" t="s">
        <v>23</v>
      </c>
    </row>
    <row r="79" spans="1:48" ht="15.75" customHeight="1" thickBot="1">
      <c r="A79" s="468"/>
      <c r="B79" s="92" t="s">
        <v>23</v>
      </c>
      <c r="C79" s="110"/>
      <c r="D79" s="94">
        <f>C79*N79</f>
        <v>0</v>
      </c>
      <c r="E79" s="141" t="s">
        <v>24</v>
      </c>
      <c r="F79" s="451" t="s">
        <v>25</v>
      </c>
      <c r="G79" s="452"/>
      <c r="H79" s="452"/>
      <c r="I79" s="453"/>
      <c r="J79" s="176"/>
      <c r="K79" s="176"/>
      <c r="L79" s="111"/>
      <c r="M79" s="112">
        <f>(((((2*(B77+C77))*(D77+G77+F77))+((2*(D77+E77))*(B77+H77+F77)))/90)*I77)/1000000</f>
        <v>0</v>
      </c>
      <c r="N79" s="112">
        <f>((IF(M79&lt;=informatieblad!$I$14,informatieblad!$I$14,IF(M79&gt;=informatieblad!$I$14,M79))))</f>
        <v>0.5</v>
      </c>
      <c r="O79" s="158">
        <f>(ROUND((((2*(X79+C77))*(((2*PI()*(X79+F77))*(I77/360))+H77+G77))/1000000),2))</f>
        <v>0</v>
      </c>
      <c r="P79" s="158">
        <f>((IF(O79&lt;=informatieblad!$H$14,informatieblad!$H$14,IF(O79&gt;=informatieblad!$H$14,O79))))</f>
        <v>0</v>
      </c>
      <c r="Q79" s="113">
        <f>((P79*AA79)+(P79*T79))*C79</f>
        <v>0</v>
      </c>
      <c r="R79" s="114">
        <f>((N79*AB79)+(N79*U79))*C79</f>
        <v>0</v>
      </c>
      <c r="S79" s="115" t="str">
        <f>F79</f>
        <v>Options None</v>
      </c>
      <c r="T79" s="115">
        <f>VLOOKUP(F79,informatieblad!$A$37:$D$41,2,FALSE)</f>
        <v>0</v>
      </c>
      <c r="U79" s="115">
        <f>VLOOKUP(F79,informatieblad!$A$37:$D$41,4,FALSE)</f>
        <v>0</v>
      </c>
      <c r="V79" s="180">
        <f>(MAX(B77,C77))</f>
        <v>0</v>
      </c>
      <c r="W79" s="119">
        <f>(MAX(D77,E77))</f>
        <v>0</v>
      </c>
      <c r="X79" s="119">
        <f>(MAX(B77,D77))</f>
        <v>0</v>
      </c>
      <c r="Y79" s="119">
        <f>(MAX(B77:E77))</f>
        <v>0</v>
      </c>
      <c r="Z79" s="119">
        <f>LOOKUP(Y79,informatieblad!$C$27:$C$32,informatieblad!$A$27:$A$32)</f>
        <v>0.5</v>
      </c>
      <c r="AA79" s="118">
        <f>VLOOKUP(Z79,informatieblad!$A$27:$M$32,6,FALSE)</f>
        <v>0</v>
      </c>
      <c r="AB79" s="118">
        <f>VLOOKUP(Z79,informatieblad!$A$27:$M$32,8,FALSE)</f>
        <v>45.1248</v>
      </c>
      <c r="AC79" s="120">
        <f>VLOOKUP(Z79,informatieblad!$A$27:$M$32,13,FALSE)</f>
        <v>4</v>
      </c>
      <c r="AD79" s="121">
        <f>ROUND((AC79*M79),1)</f>
        <v>0</v>
      </c>
      <c r="AF79" s="281">
        <f>IF(B78=AF77,(2*B77)+(2*C77),IF(B78=AF78,(2*B77)+(2*C77),0))*C79</f>
        <v>0</v>
      </c>
      <c r="AG79" s="261">
        <f>IF(D78=AF77,(2*D77)+(2*E77),IF(D78=AF78,(2*D77)+(2*E77),0))*C79</f>
        <v>0</v>
      </c>
      <c r="AH79" s="111">
        <f>IF(B78=AH77,(2*B77)+(2*C77),IF(B78=AH78,(2*B77)+(2*C77),0))*C79</f>
        <v>0</v>
      </c>
      <c r="AI79" s="260">
        <f>IF(D78=AH77,(2*D77)+(2*E77),IF(D78=AH78,(2*D77)+(2*E77),0))*C79</f>
        <v>0</v>
      </c>
      <c r="AJ79" s="261">
        <f>IF(B78=AJ77,(2*B77)+(2*C77),IF(B78=AJ78,(2*B77)+(2*C77),0))*C79</f>
        <v>0</v>
      </c>
      <c r="AK79" s="260">
        <f>IF(D78=AJ77,(2*D77)+(2*E77),IF(D78=AJ78,(2*D77)+(2*E77),0))*C79</f>
        <v>0</v>
      </c>
      <c r="AL79" s="111">
        <f>IF(B78=AL77,(2*B77)+(2*C77),0)*C79</f>
        <v>0</v>
      </c>
      <c r="AM79" s="260">
        <f>IF(D78=AL77,(2*D77)+(2*E77),0)*C79</f>
        <v>0</v>
      </c>
      <c r="AN79" s="83" t="str">
        <f>'UC mounting materials '!$B$11</f>
        <v>Rail 41x41</v>
      </c>
      <c r="AO79" s="268">
        <f>IF(Y79&gt;999,(Y79+100),0)*C79</f>
        <v>0</v>
      </c>
      <c r="AQ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AR79" s="275" t="str">
        <f>IF(D78=informatieblad!$A$6,informatieblad!$B$6,IF(D78=informatieblad!$A$7,informatieblad!$B$7,IF(D78=informatieblad!$A$8,informatieblad!$B$8,IF(D78=informatieblad!$A$2,informatieblad!$B$2,IF(D78=informatieblad!$A$3,informatieblad!$B$3,IF(D78=informatieblad!$A$4,informatieblad!$B$4,IF(D78=informatieblad!$A$5,informatieblad!$B$5,"")))))))</f>
        <v/>
      </c>
      <c r="AS79" s="276">
        <f>IF(AQ79=AS77,(4*C79),0)</f>
        <v>0</v>
      </c>
      <c r="AT79" s="276">
        <f>IF(AR79=AS77,(4*C79),0)</f>
        <v>0</v>
      </c>
      <c r="AU79" s="276">
        <f>IF(AQ79=AU77,(4*C79),0)</f>
        <v>0</v>
      </c>
      <c r="AV79" s="274">
        <f>IF(AR79=AU77,(4*C79),0)</f>
        <v>0</v>
      </c>
    </row>
    <row r="80" spans="1:48" ht="5.0999999999999996" customHeight="1" thickBot="1">
      <c r="A80" s="145"/>
      <c r="B80" s="122"/>
      <c r="C80" s="122"/>
      <c r="D80" s="122"/>
      <c r="E80" s="122"/>
      <c r="F80" s="122"/>
      <c r="G80" s="122"/>
      <c r="H80" s="122"/>
      <c r="I80" s="146"/>
    </row>
    <row r="81" spans="1:48" ht="15.75" customHeight="1" thickBot="1">
      <c r="A81" s="445"/>
      <c r="B81" s="96"/>
      <c r="C81" s="96"/>
      <c r="D81" s="96"/>
      <c r="E81" s="167">
        <f>C81</f>
        <v>0</v>
      </c>
      <c r="F81" s="177">
        <f>(B81&gt;0)*$I$10</f>
        <v>0</v>
      </c>
      <c r="G81" s="177">
        <f>(B81&gt;0)*$I$11</f>
        <v>0</v>
      </c>
      <c r="H81" s="177">
        <f>(B81&gt;0)*$I$12</f>
        <v>0</v>
      </c>
      <c r="I81" s="178"/>
      <c r="J81" s="345" t="s">
        <v>20</v>
      </c>
      <c r="K81" s="83"/>
      <c r="L81" s="97" t="s">
        <v>14</v>
      </c>
      <c r="M81" s="98" t="s">
        <v>27</v>
      </c>
      <c r="N81" s="98" t="s">
        <v>28</v>
      </c>
      <c r="O81" s="98" t="s">
        <v>27</v>
      </c>
      <c r="P81" s="98" t="s">
        <v>28</v>
      </c>
      <c r="Q81" s="98" t="s">
        <v>29</v>
      </c>
      <c r="R81" s="66" t="s">
        <v>30</v>
      </c>
      <c r="S81" s="153" t="s">
        <v>31</v>
      </c>
      <c r="T81" s="153"/>
      <c r="U81" s="153"/>
      <c r="V81" s="154" t="s">
        <v>83</v>
      </c>
      <c r="W81" s="100" t="s">
        <v>83</v>
      </c>
      <c r="X81" s="100" t="s">
        <v>83</v>
      </c>
      <c r="Y81" s="100" t="s">
        <v>33</v>
      </c>
      <c r="Z81" s="100" t="s">
        <v>34</v>
      </c>
      <c r="AA81" s="98" t="s">
        <v>32</v>
      </c>
      <c r="AB81" s="98" t="s">
        <v>32</v>
      </c>
      <c r="AC81" s="98" t="s">
        <v>49</v>
      </c>
      <c r="AD81" s="101" t="s">
        <v>36</v>
      </c>
      <c r="AF81" s="97" t="str">
        <f>informatieblad!$A$6</f>
        <v>FL20</v>
      </c>
      <c r="AG81" s="99"/>
      <c r="AH81" s="97" t="str">
        <f>informatieblad!$A$7</f>
        <v>FL30</v>
      </c>
      <c r="AI81" s="66"/>
      <c r="AJ81" s="99" t="str">
        <f>informatieblad!$A$8</f>
        <v>FL40</v>
      </c>
      <c r="AK81" s="66"/>
      <c r="AL81" s="97" t="str">
        <f>informatieblad!$A$5</f>
        <v>none</v>
      </c>
      <c r="AM81" s="264"/>
      <c r="AO81" s="266" t="s">
        <v>37</v>
      </c>
      <c r="AQ81" s="269" t="s">
        <v>38</v>
      </c>
      <c r="AR81" s="272"/>
      <c r="AS81" s="272">
        <f>informatieblad!$B$3</f>
        <v>0</v>
      </c>
      <c r="AT81" s="272">
        <f>informatieblad!$B$3</f>
        <v>0</v>
      </c>
      <c r="AU81" s="272">
        <f>informatieblad!$B$4</f>
        <v>0</v>
      </c>
      <c r="AV81" s="264">
        <f>informatieblad!$B$4</f>
        <v>0</v>
      </c>
    </row>
    <row r="82" spans="1:48" ht="15.75" customHeight="1">
      <c r="A82" s="467"/>
      <c r="B82" s="479" t="str">
        <f>IF($C83&gt;0,IF(MAX(B81:C81)&lt;informatieblad!$Q$4,informatieblad!$P$3,IF(MAX(B81:C81)&gt;informatieblad!$R$4,informatieblad!$P$5,informatieblad!$P$4)),"")</f>
        <v/>
      </c>
      <c r="C82" s="480"/>
      <c r="D82" s="479" t="str">
        <f>IF($C83&gt;0,IF(MAX(D81:E81)&lt;informatieblad!$Q$4,informatieblad!$P$3,IF(MAX(D81:E81)&gt;informatieblad!$R$4,informatieblad!$P$5,informatieblad!$P$4)),"")</f>
        <v/>
      </c>
      <c r="E82" s="480"/>
      <c r="F82" s="173" t="str">
        <f>A81&amp;"-"&amp;informatieblad!$B$14&amp;"-"&amp;B81&amp;"-"&amp;C81&amp;"-"&amp;D81&amp;"-"&amp;E81&amp;"-"&amp;F81&amp;"-"&amp;G81&amp;"-"&amp;H81&amp;"-"&amp;I81&amp;"-"&amp;B82&amp;"-"&amp;D82&amp;"-"&amp;F83</f>
        <v>-RctB----0-0-0-0----Options None</v>
      </c>
      <c r="G82" s="174"/>
      <c r="H82" s="179"/>
      <c r="I82" s="175"/>
      <c r="J82" s="83"/>
      <c r="K82" s="83"/>
      <c r="L82" s="103">
        <f>A81</f>
        <v>0</v>
      </c>
      <c r="M82" s="104" t="s">
        <v>39</v>
      </c>
      <c r="N82" s="104" t="s">
        <v>39</v>
      </c>
      <c r="O82" s="104" t="s">
        <v>40</v>
      </c>
      <c r="P82" s="104" t="s">
        <v>40</v>
      </c>
      <c r="Q82" s="104" t="s">
        <v>40</v>
      </c>
      <c r="R82" s="105"/>
      <c r="S82" s="155" t="s">
        <v>27</v>
      </c>
      <c r="T82" s="155" t="s">
        <v>40</v>
      </c>
      <c r="U82" s="155" t="s">
        <v>41</v>
      </c>
      <c r="V82" s="156" t="s">
        <v>107</v>
      </c>
      <c r="W82" s="104" t="s">
        <v>108</v>
      </c>
      <c r="X82" s="107" t="s">
        <v>91</v>
      </c>
      <c r="Y82" s="107"/>
      <c r="Z82" s="107"/>
      <c r="AA82" s="104" t="s">
        <v>40</v>
      </c>
      <c r="AB82" s="104" t="s">
        <v>41</v>
      </c>
      <c r="AC82" s="108"/>
      <c r="AD82" s="109"/>
      <c r="AF82" s="262" t="str">
        <f>informatieblad!$A$2</f>
        <v>FL20 loose</v>
      </c>
      <c r="AG82" s="263"/>
      <c r="AH82" s="262" t="str">
        <f>informatieblad!$A$3</f>
        <v>FL30 loose</v>
      </c>
      <c r="AI82" s="105"/>
      <c r="AJ82" s="263" t="str">
        <f>informatieblad!$A$4</f>
        <v>FL40 loose</v>
      </c>
      <c r="AK82" s="105"/>
      <c r="AL82" s="265"/>
      <c r="AM82" s="105"/>
      <c r="AN82" s="83" t="str">
        <f>'UC mounting materials '!$B$10</f>
        <v>Rail 30x15</v>
      </c>
      <c r="AO82" s="327">
        <f>IF(Y83&lt;1000,(Y83+100),0)*C83</f>
        <v>0</v>
      </c>
      <c r="AQ82" s="265" t="s">
        <v>47</v>
      </c>
      <c r="AR82" s="106" t="s">
        <v>48</v>
      </c>
      <c r="AS82" s="83" t="s">
        <v>23</v>
      </c>
      <c r="AT82" s="83" t="s">
        <v>23</v>
      </c>
      <c r="AU82" s="83" t="s">
        <v>23</v>
      </c>
      <c r="AV82" s="273" t="s">
        <v>23</v>
      </c>
    </row>
    <row r="83" spans="1:48" ht="15.75" customHeight="1" thickBot="1">
      <c r="A83" s="468"/>
      <c r="B83" s="92" t="s">
        <v>23</v>
      </c>
      <c r="C83" s="110"/>
      <c r="D83" s="94">
        <f>C83*N83</f>
        <v>0</v>
      </c>
      <c r="E83" s="141" t="s">
        <v>24</v>
      </c>
      <c r="F83" s="451" t="s">
        <v>25</v>
      </c>
      <c r="G83" s="452"/>
      <c r="H83" s="452"/>
      <c r="I83" s="453"/>
      <c r="J83" s="176"/>
      <c r="K83" s="176"/>
      <c r="L83" s="111"/>
      <c r="M83" s="112">
        <f>(((((2*(B81+C81))*(D81+G81+F81))+((2*(D81+E81))*(B81+H81+F81)))/90)*I81)/1000000</f>
        <v>0</v>
      </c>
      <c r="N83" s="112">
        <f>((IF(M83&lt;=informatieblad!$I$14,informatieblad!$I$14,IF(M83&gt;=informatieblad!$I$14,M83))))</f>
        <v>0.5</v>
      </c>
      <c r="O83" s="158">
        <f>(ROUND((((2*(X83+C81))*(((2*PI()*(X83+F81))*(I81/360))+H81+G81))/1000000),2))</f>
        <v>0</v>
      </c>
      <c r="P83" s="158">
        <f>((IF(O83&lt;=informatieblad!$H$14,informatieblad!$H$14,IF(O83&gt;=informatieblad!$H$14,O83))))</f>
        <v>0</v>
      </c>
      <c r="Q83" s="113">
        <f>((P83*AA83)+(P83*T83))*C83</f>
        <v>0</v>
      </c>
      <c r="R83" s="114">
        <f>((N83*AB83)+(N83*U83))*C83</f>
        <v>0</v>
      </c>
      <c r="S83" s="115" t="str">
        <f>F83</f>
        <v>Options None</v>
      </c>
      <c r="T83" s="115">
        <f>VLOOKUP(F83,informatieblad!$A$37:$D$41,2,FALSE)</f>
        <v>0</v>
      </c>
      <c r="U83" s="115">
        <f>VLOOKUP(F83,informatieblad!$A$37:$D$41,4,FALSE)</f>
        <v>0</v>
      </c>
      <c r="V83" s="180">
        <f>(MAX(B81,C81))</f>
        <v>0</v>
      </c>
      <c r="W83" s="119">
        <f>(MAX(D81,E81))</f>
        <v>0</v>
      </c>
      <c r="X83" s="119">
        <f>(MAX(B81,D81))</f>
        <v>0</v>
      </c>
      <c r="Y83" s="119">
        <f>(MAX(B81:E81))</f>
        <v>0</v>
      </c>
      <c r="Z83" s="119">
        <f>LOOKUP(Y83,informatieblad!$C$27:$C$32,informatieblad!$A$27:$A$32)</f>
        <v>0.5</v>
      </c>
      <c r="AA83" s="118">
        <f>VLOOKUP(Z83,informatieblad!$A$27:$M$32,6,FALSE)</f>
        <v>0</v>
      </c>
      <c r="AB83" s="118">
        <f>VLOOKUP(Z83,informatieblad!$A$27:$M$32,8,FALSE)</f>
        <v>45.1248</v>
      </c>
      <c r="AC83" s="120">
        <f>VLOOKUP(Z83,informatieblad!$A$27:$M$32,13,FALSE)</f>
        <v>4</v>
      </c>
      <c r="AD83" s="121">
        <f>ROUND((AC83*M83),1)</f>
        <v>0</v>
      </c>
      <c r="AF83" s="281">
        <f>IF(B82=AF81,(2*B81)+(2*C81),IF(B82=AF82,(2*B81)+(2*C81),0))*C83</f>
        <v>0</v>
      </c>
      <c r="AG83" s="261">
        <f>IF(D82=AF81,(2*D81)+(2*E81),IF(D82=AF82,(2*D81)+(2*E81),0))*C83</f>
        <v>0</v>
      </c>
      <c r="AH83" s="111">
        <f>IF(B82=AH81,(2*B81)+(2*C81),IF(B82=AH82,(2*B81)+(2*C81),0))*C83</f>
        <v>0</v>
      </c>
      <c r="AI83" s="260">
        <f>IF(D82=AH81,(2*D81)+(2*E81),IF(D82=AH82,(2*D81)+(2*E81),0))*C83</f>
        <v>0</v>
      </c>
      <c r="AJ83" s="261">
        <f>IF(B82=AJ81,(2*B81)+(2*C81),IF(B82=AJ82,(2*B81)+(2*C81),0))*C83</f>
        <v>0</v>
      </c>
      <c r="AK83" s="260">
        <f>IF(D82=AJ81,(2*D81)+(2*E81),IF(D82=AJ82,(2*D81)+(2*E81),0))*C83</f>
        <v>0</v>
      </c>
      <c r="AL83" s="111">
        <f>IF(B82=AL81,(2*B81)+(2*C81),0)*C83</f>
        <v>0</v>
      </c>
      <c r="AM83" s="260">
        <f>IF(D82=AL81,(2*D81)+(2*E81),0)*C83</f>
        <v>0</v>
      </c>
      <c r="AN83" s="83" t="str">
        <f>'UC mounting materials '!$B$11</f>
        <v>Rail 41x41</v>
      </c>
      <c r="AO83" s="268">
        <f>IF(Y83&gt;999,(Y83+100),0)*C83</f>
        <v>0</v>
      </c>
      <c r="AQ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AR83" s="275" t="str">
        <f>IF(D82=informatieblad!$A$6,informatieblad!$B$6,IF(D82=informatieblad!$A$7,informatieblad!$B$7,IF(D82=informatieblad!$A$8,informatieblad!$B$8,IF(D82=informatieblad!$A$2,informatieblad!$B$2,IF(D82=informatieblad!$A$3,informatieblad!$B$3,IF(D82=informatieblad!$A$4,informatieblad!$B$4,IF(D82=informatieblad!$A$5,informatieblad!$B$5,"")))))))</f>
        <v/>
      </c>
      <c r="AS83" s="276">
        <f>IF(AQ83=AS81,(4*C83),0)</f>
        <v>0</v>
      </c>
      <c r="AT83" s="276">
        <f>IF(AR83=AS81,(4*C83),0)</f>
        <v>0</v>
      </c>
      <c r="AU83" s="276">
        <f>IF(AQ83=AU81,(4*C83),0)</f>
        <v>0</v>
      </c>
      <c r="AV83" s="274">
        <f>IF(AR83=AU81,(4*C83),0)</f>
        <v>0</v>
      </c>
    </row>
    <row r="84" spans="1:48" ht="5.0999999999999996" customHeight="1" thickBot="1">
      <c r="A84" s="145"/>
      <c r="B84" s="122"/>
      <c r="C84" s="122"/>
      <c r="D84" s="122"/>
      <c r="E84" s="122"/>
      <c r="F84" s="122"/>
      <c r="G84" s="122"/>
      <c r="H84" s="122"/>
      <c r="I84" s="146"/>
    </row>
    <row r="85" spans="1:48" ht="15.75" customHeight="1" thickBot="1">
      <c r="A85" s="445"/>
      <c r="B85" s="96"/>
      <c r="C85" s="96"/>
      <c r="D85" s="96"/>
      <c r="E85" s="167">
        <f>C85</f>
        <v>0</v>
      </c>
      <c r="F85" s="177">
        <f>(B85&gt;0)*$I$10</f>
        <v>0</v>
      </c>
      <c r="G85" s="177">
        <f>(B85&gt;0)*$I$11</f>
        <v>0</v>
      </c>
      <c r="H85" s="177">
        <f>(B85&gt;0)*$I$12</f>
        <v>0</v>
      </c>
      <c r="I85" s="178"/>
      <c r="J85" s="345" t="s">
        <v>20</v>
      </c>
      <c r="K85" s="83"/>
      <c r="L85" s="97" t="s">
        <v>14</v>
      </c>
      <c r="M85" s="98" t="s">
        <v>27</v>
      </c>
      <c r="N85" s="98" t="s">
        <v>28</v>
      </c>
      <c r="O85" s="98" t="s">
        <v>27</v>
      </c>
      <c r="P85" s="98" t="s">
        <v>28</v>
      </c>
      <c r="Q85" s="98" t="s">
        <v>29</v>
      </c>
      <c r="R85" s="66" t="s">
        <v>30</v>
      </c>
      <c r="S85" s="153" t="s">
        <v>31</v>
      </c>
      <c r="T85" s="153"/>
      <c r="U85" s="153"/>
      <c r="V85" s="154" t="s">
        <v>83</v>
      </c>
      <c r="W85" s="100" t="s">
        <v>83</v>
      </c>
      <c r="X85" s="100" t="s">
        <v>83</v>
      </c>
      <c r="Y85" s="100" t="s">
        <v>33</v>
      </c>
      <c r="Z85" s="100" t="s">
        <v>34</v>
      </c>
      <c r="AA85" s="98" t="s">
        <v>32</v>
      </c>
      <c r="AB85" s="98" t="s">
        <v>32</v>
      </c>
      <c r="AC85" s="98" t="s">
        <v>49</v>
      </c>
      <c r="AD85" s="101" t="s">
        <v>36</v>
      </c>
      <c r="AF85" s="97" t="str">
        <f>informatieblad!$A$6</f>
        <v>FL20</v>
      </c>
      <c r="AG85" s="99"/>
      <c r="AH85" s="97" t="str">
        <f>informatieblad!$A$7</f>
        <v>FL30</v>
      </c>
      <c r="AI85" s="66"/>
      <c r="AJ85" s="99" t="str">
        <f>informatieblad!$A$8</f>
        <v>FL40</v>
      </c>
      <c r="AK85" s="66"/>
      <c r="AL85" s="97" t="str">
        <f>informatieblad!$A$5</f>
        <v>none</v>
      </c>
      <c r="AM85" s="264"/>
      <c r="AO85" s="266" t="s">
        <v>37</v>
      </c>
      <c r="AQ85" s="269" t="s">
        <v>38</v>
      </c>
      <c r="AR85" s="272"/>
      <c r="AS85" s="272">
        <f>informatieblad!$B$3</f>
        <v>0</v>
      </c>
      <c r="AT85" s="272">
        <f>informatieblad!$B$3</f>
        <v>0</v>
      </c>
      <c r="AU85" s="272">
        <f>informatieblad!$B$4</f>
        <v>0</v>
      </c>
      <c r="AV85" s="264">
        <f>informatieblad!$B$4</f>
        <v>0</v>
      </c>
    </row>
    <row r="86" spans="1:48" ht="15.75" customHeight="1">
      <c r="A86" s="467"/>
      <c r="B86" s="479" t="str">
        <f>IF($C87&gt;0,IF(MAX(B85:C85)&lt;informatieblad!$Q$4,informatieblad!$P$3,IF(MAX(B85:C85)&gt;informatieblad!$R$4,informatieblad!$P$5,informatieblad!$P$4)),"")</f>
        <v/>
      </c>
      <c r="C86" s="480"/>
      <c r="D86" s="479" t="str">
        <f>IF($C87&gt;0,IF(MAX(D85:E85)&lt;informatieblad!$Q$4,informatieblad!$P$3,IF(MAX(D85:E85)&gt;informatieblad!$R$4,informatieblad!$P$5,informatieblad!$P$4)),"")</f>
        <v/>
      </c>
      <c r="E86" s="480"/>
      <c r="F86" s="173" t="str">
        <f>A85&amp;"-"&amp;informatieblad!$B$14&amp;"-"&amp;B85&amp;"-"&amp;C85&amp;"-"&amp;D85&amp;"-"&amp;E85&amp;"-"&amp;F85&amp;"-"&amp;G85&amp;"-"&amp;H85&amp;"-"&amp;I85&amp;"-"&amp;B86&amp;"-"&amp;D86&amp;"-"&amp;F87</f>
        <v>-RctB----0-0-0-0----Options None</v>
      </c>
      <c r="G86" s="174"/>
      <c r="H86" s="179"/>
      <c r="I86" s="175"/>
      <c r="J86" s="83"/>
      <c r="K86" s="83"/>
      <c r="L86" s="103">
        <f>A85</f>
        <v>0</v>
      </c>
      <c r="M86" s="104" t="s">
        <v>39</v>
      </c>
      <c r="N86" s="104" t="s">
        <v>39</v>
      </c>
      <c r="O86" s="104" t="s">
        <v>40</v>
      </c>
      <c r="P86" s="104" t="s">
        <v>40</v>
      </c>
      <c r="Q86" s="104" t="s">
        <v>40</v>
      </c>
      <c r="R86" s="105"/>
      <c r="S86" s="155" t="s">
        <v>27</v>
      </c>
      <c r="T86" s="155" t="s">
        <v>40</v>
      </c>
      <c r="U86" s="155" t="s">
        <v>41</v>
      </c>
      <c r="V86" s="156" t="s">
        <v>107</v>
      </c>
      <c r="W86" s="104" t="s">
        <v>108</v>
      </c>
      <c r="X86" s="107" t="s">
        <v>91</v>
      </c>
      <c r="Y86" s="107"/>
      <c r="Z86" s="107"/>
      <c r="AA86" s="104" t="s">
        <v>40</v>
      </c>
      <c r="AB86" s="104" t="s">
        <v>41</v>
      </c>
      <c r="AC86" s="108"/>
      <c r="AD86" s="109"/>
      <c r="AF86" s="262" t="str">
        <f>informatieblad!$A$2</f>
        <v>FL20 loose</v>
      </c>
      <c r="AG86" s="263"/>
      <c r="AH86" s="262" t="str">
        <f>informatieblad!$A$3</f>
        <v>FL30 loose</v>
      </c>
      <c r="AI86" s="105"/>
      <c r="AJ86" s="263" t="str">
        <f>informatieblad!$A$4</f>
        <v>FL40 loose</v>
      </c>
      <c r="AK86" s="105"/>
      <c r="AL86" s="265"/>
      <c r="AM86" s="105"/>
      <c r="AN86" s="83" t="str">
        <f>'UC mounting materials '!$B$10</f>
        <v>Rail 30x15</v>
      </c>
      <c r="AO86" s="327">
        <f>IF(Y87&lt;1000,(Y87+100),0)*C87</f>
        <v>0</v>
      </c>
      <c r="AQ86" s="265" t="s">
        <v>47</v>
      </c>
      <c r="AR86" s="106" t="s">
        <v>48</v>
      </c>
      <c r="AS86" s="83" t="s">
        <v>23</v>
      </c>
      <c r="AT86" s="83" t="s">
        <v>23</v>
      </c>
      <c r="AU86" s="83" t="s">
        <v>23</v>
      </c>
      <c r="AV86" s="273" t="s">
        <v>23</v>
      </c>
    </row>
    <row r="87" spans="1:48" ht="15.75" customHeight="1" thickBot="1">
      <c r="A87" s="468"/>
      <c r="B87" s="92" t="s">
        <v>23</v>
      </c>
      <c r="C87" s="110"/>
      <c r="D87" s="94">
        <f>C87*N87</f>
        <v>0</v>
      </c>
      <c r="E87" s="141" t="s">
        <v>24</v>
      </c>
      <c r="F87" s="451" t="s">
        <v>25</v>
      </c>
      <c r="G87" s="452"/>
      <c r="H87" s="452"/>
      <c r="I87" s="453"/>
      <c r="J87" s="176"/>
      <c r="K87" s="176"/>
      <c r="L87" s="111"/>
      <c r="M87" s="112">
        <f>(((((2*(B85+C85))*(D85+G85+F85))+((2*(D85+E85))*(B85+H85+F85)))/90)*I85)/1000000</f>
        <v>0</v>
      </c>
      <c r="N87" s="112">
        <f>((IF(M87&lt;=informatieblad!$I$14,informatieblad!$I$14,IF(M87&gt;=informatieblad!$I$14,M87))))</f>
        <v>0.5</v>
      </c>
      <c r="O87" s="158">
        <f>(ROUND((((2*(X87+C85))*(((2*PI()*(X87+F85))*(I85/360))+H85+G85))/1000000),2))</f>
        <v>0</v>
      </c>
      <c r="P87" s="158">
        <f>((IF(O87&lt;=informatieblad!$H$14,informatieblad!$H$14,IF(O87&gt;=informatieblad!$H$14,O87))))</f>
        <v>0</v>
      </c>
      <c r="Q87" s="113">
        <f>((P87*AA87)+(P87*T87))*C87</f>
        <v>0</v>
      </c>
      <c r="R87" s="114">
        <f>((N87*AB87)+(N87*U87))*C87</f>
        <v>0</v>
      </c>
      <c r="S87" s="115" t="str">
        <f>F87</f>
        <v>Options None</v>
      </c>
      <c r="T87" s="115">
        <f>VLOOKUP(F87,informatieblad!$A$37:$D$41,2,FALSE)</f>
        <v>0</v>
      </c>
      <c r="U87" s="115">
        <f>VLOOKUP(F87,informatieblad!$A$37:$D$41,4,FALSE)</f>
        <v>0</v>
      </c>
      <c r="V87" s="180">
        <f>(MAX(B85,C85))</f>
        <v>0</v>
      </c>
      <c r="W87" s="119">
        <f>(MAX(D85,E85))</f>
        <v>0</v>
      </c>
      <c r="X87" s="119">
        <f>(MAX(B85,D85))</f>
        <v>0</v>
      </c>
      <c r="Y87" s="119">
        <f>(MAX(B85:E85))</f>
        <v>0</v>
      </c>
      <c r="Z87" s="119">
        <f>LOOKUP(Y87,informatieblad!$C$27:$C$32,informatieblad!$A$27:$A$32)</f>
        <v>0.5</v>
      </c>
      <c r="AA87" s="118">
        <f>VLOOKUP(Z87,informatieblad!$A$27:$M$32,6,FALSE)</f>
        <v>0</v>
      </c>
      <c r="AB87" s="118">
        <f>VLOOKUP(Z87,informatieblad!$A$27:$M$32,8,FALSE)</f>
        <v>45.1248</v>
      </c>
      <c r="AC87" s="120">
        <f>VLOOKUP(Z87,informatieblad!$A$27:$M$32,13,FALSE)</f>
        <v>4</v>
      </c>
      <c r="AD87" s="121">
        <f>ROUND((AC87*M87),1)</f>
        <v>0</v>
      </c>
      <c r="AF87" s="281">
        <f>IF(B86=AF85,(2*B85)+(2*C85),IF(B86=AF86,(2*B85)+(2*C85),0))*C87</f>
        <v>0</v>
      </c>
      <c r="AG87" s="261">
        <f>IF(D86=AF85,(2*D85)+(2*E85),IF(D86=AF86,(2*D85)+(2*E85),0))*C87</f>
        <v>0</v>
      </c>
      <c r="AH87" s="111">
        <f>IF(B86=AH85,(2*B85)+(2*C85),IF(B86=AH86,(2*B85)+(2*C85),0))*C87</f>
        <v>0</v>
      </c>
      <c r="AI87" s="260">
        <f>IF(D86=AH85,(2*D85)+(2*E85),IF(D86=AH86,(2*D85)+(2*E85),0))*C87</f>
        <v>0</v>
      </c>
      <c r="AJ87" s="261">
        <f>IF(B86=AJ85,(2*B85)+(2*C85),IF(B86=AJ86,(2*B85)+(2*C85),0))*C87</f>
        <v>0</v>
      </c>
      <c r="AK87" s="260">
        <f>IF(D86=AJ85,(2*D85)+(2*E85),IF(D86=AJ86,(2*D85)+(2*E85),0))*C87</f>
        <v>0</v>
      </c>
      <c r="AL87" s="111">
        <f>IF(B86=AL85,(2*B85)+(2*C85),0)*C87</f>
        <v>0</v>
      </c>
      <c r="AM87" s="260">
        <f>IF(D86=AL85,(2*D85)+(2*E85),0)*C87</f>
        <v>0</v>
      </c>
      <c r="AN87" s="83" t="str">
        <f>'UC mounting materials '!$B$11</f>
        <v>Rail 41x41</v>
      </c>
      <c r="AO87" s="268">
        <f>IF(Y87&gt;999,(Y87+100),0)*C87</f>
        <v>0</v>
      </c>
      <c r="AQ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AR87" s="275" t="str">
        <f>IF(D86=informatieblad!$A$6,informatieblad!$B$6,IF(D86=informatieblad!$A$7,informatieblad!$B$7,IF(D86=informatieblad!$A$8,informatieblad!$B$8,IF(D86=informatieblad!$A$2,informatieblad!$B$2,IF(D86=informatieblad!$A$3,informatieblad!$B$3,IF(D86=informatieblad!$A$4,informatieblad!$B$4,IF(D86=informatieblad!$A$5,informatieblad!$B$5,"")))))))</f>
        <v/>
      </c>
      <c r="AS87" s="276">
        <f>IF(AQ87=AS85,(4*C87),0)</f>
        <v>0</v>
      </c>
      <c r="AT87" s="276">
        <f>IF(AR87=AS85,(4*C87),0)</f>
        <v>0</v>
      </c>
      <c r="AU87" s="276">
        <f>IF(AQ87=AU85,(4*C87),0)</f>
        <v>0</v>
      </c>
      <c r="AV87" s="274">
        <f>IF(AR87=AU85,(4*C87),0)</f>
        <v>0</v>
      </c>
    </row>
    <row r="88" spans="1:48" ht="5.0999999999999996" customHeight="1" thickBot="1">
      <c r="A88" s="145"/>
      <c r="B88" s="122"/>
      <c r="C88" s="122"/>
      <c r="D88" s="122"/>
      <c r="E88" s="122"/>
      <c r="F88" s="122"/>
      <c r="G88" s="122"/>
      <c r="H88" s="122"/>
      <c r="I88" s="146"/>
    </row>
    <row r="89" spans="1:48" ht="15.75" customHeight="1" thickBot="1">
      <c r="A89" s="445"/>
      <c r="B89" s="96"/>
      <c r="C89" s="96"/>
      <c r="D89" s="96"/>
      <c r="E89" s="167">
        <f>C89</f>
        <v>0</v>
      </c>
      <c r="F89" s="177">
        <f>(B89&gt;0)*$I$10</f>
        <v>0</v>
      </c>
      <c r="G89" s="177">
        <f>(B89&gt;0)*$I$11</f>
        <v>0</v>
      </c>
      <c r="H89" s="177">
        <f>(B89&gt;0)*$I$12</f>
        <v>0</v>
      </c>
      <c r="I89" s="178"/>
      <c r="J89" s="345" t="s">
        <v>20</v>
      </c>
      <c r="K89" s="83"/>
      <c r="L89" s="97" t="s">
        <v>14</v>
      </c>
      <c r="M89" s="98" t="s">
        <v>27</v>
      </c>
      <c r="N89" s="98" t="s">
        <v>28</v>
      </c>
      <c r="O89" s="98" t="s">
        <v>27</v>
      </c>
      <c r="P89" s="98" t="s">
        <v>28</v>
      </c>
      <c r="Q89" s="98" t="s">
        <v>29</v>
      </c>
      <c r="R89" s="66" t="s">
        <v>30</v>
      </c>
      <c r="S89" s="153" t="s">
        <v>31</v>
      </c>
      <c r="T89" s="153"/>
      <c r="U89" s="153"/>
      <c r="V89" s="154" t="s">
        <v>83</v>
      </c>
      <c r="W89" s="100" t="s">
        <v>83</v>
      </c>
      <c r="X89" s="100" t="s">
        <v>83</v>
      </c>
      <c r="Y89" s="100" t="s">
        <v>33</v>
      </c>
      <c r="Z89" s="100" t="s">
        <v>34</v>
      </c>
      <c r="AA89" s="98" t="s">
        <v>32</v>
      </c>
      <c r="AB89" s="98" t="s">
        <v>32</v>
      </c>
      <c r="AC89" s="98" t="s">
        <v>49</v>
      </c>
      <c r="AD89" s="101" t="s">
        <v>36</v>
      </c>
      <c r="AF89" s="97" t="str">
        <f>informatieblad!$A$6</f>
        <v>FL20</v>
      </c>
      <c r="AG89" s="99"/>
      <c r="AH89" s="97" t="str">
        <f>informatieblad!$A$7</f>
        <v>FL30</v>
      </c>
      <c r="AI89" s="66"/>
      <c r="AJ89" s="99" t="str">
        <f>informatieblad!$A$8</f>
        <v>FL40</v>
      </c>
      <c r="AK89" s="66"/>
      <c r="AL89" s="97" t="str">
        <f>informatieblad!$A$5</f>
        <v>none</v>
      </c>
      <c r="AM89" s="264"/>
      <c r="AO89" s="266" t="s">
        <v>37</v>
      </c>
      <c r="AQ89" s="269" t="s">
        <v>38</v>
      </c>
      <c r="AR89" s="272"/>
      <c r="AS89" s="272">
        <f>informatieblad!$B$3</f>
        <v>0</v>
      </c>
      <c r="AT89" s="272">
        <f>informatieblad!$B$3</f>
        <v>0</v>
      </c>
      <c r="AU89" s="272">
        <f>informatieblad!$B$4</f>
        <v>0</v>
      </c>
      <c r="AV89" s="264">
        <f>informatieblad!$B$4</f>
        <v>0</v>
      </c>
    </row>
    <row r="90" spans="1:48" ht="15.75" customHeight="1">
      <c r="A90" s="467"/>
      <c r="B90" s="479" t="str">
        <f>IF($C91&gt;0,IF(MAX(B89:C89)&lt;informatieblad!$Q$4,informatieblad!$P$3,IF(MAX(B89:C89)&gt;informatieblad!$R$4,informatieblad!$P$5,informatieblad!$P$4)),"")</f>
        <v/>
      </c>
      <c r="C90" s="480"/>
      <c r="D90" s="479" t="str">
        <f>IF($C91&gt;0,IF(MAX(D89:E89)&lt;informatieblad!$Q$4,informatieblad!$P$3,IF(MAX(D89:E89)&gt;informatieblad!$R$4,informatieblad!$P$5,informatieblad!$P$4)),"")</f>
        <v/>
      </c>
      <c r="E90" s="480"/>
      <c r="F90" s="173" t="str">
        <f>A89&amp;"-"&amp;informatieblad!$B$14&amp;"-"&amp;B89&amp;"-"&amp;C89&amp;"-"&amp;D89&amp;"-"&amp;E89&amp;"-"&amp;F89&amp;"-"&amp;G89&amp;"-"&amp;H89&amp;"-"&amp;I89&amp;"-"&amp;B90&amp;"-"&amp;D90&amp;"-"&amp;F91</f>
        <v>-RctB----0-0-0-0----Options None</v>
      </c>
      <c r="G90" s="174"/>
      <c r="H90" s="179"/>
      <c r="I90" s="175"/>
      <c r="J90" s="83"/>
      <c r="K90" s="83"/>
      <c r="L90" s="103">
        <f>A89</f>
        <v>0</v>
      </c>
      <c r="M90" s="104" t="s">
        <v>39</v>
      </c>
      <c r="N90" s="104" t="s">
        <v>39</v>
      </c>
      <c r="O90" s="104" t="s">
        <v>40</v>
      </c>
      <c r="P90" s="104" t="s">
        <v>40</v>
      </c>
      <c r="Q90" s="104" t="s">
        <v>40</v>
      </c>
      <c r="R90" s="105"/>
      <c r="S90" s="155" t="s">
        <v>27</v>
      </c>
      <c r="T90" s="155" t="s">
        <v>40</v>
      </c>
      <c r="U90" s="155" t="s">
        <v>41</v>
      </c>
      <c r="V90" s="156" t="s">
        <v>107</v>
      </c>
      <c r="W90" s="104" t="s">
        <v>108</v>
      </c>
      <c r="X90" s="107" t="s">
        <v>91</v>
      </c>
      <c r="Y90" s="107"/>
      <c r="Z90" s="107"/>
      <c r="AA90" s="104" t="s">
        <v>40</v>
      </c>
      <c r="AB90" s="104" t="s">
        <v>41</v>
      </c>
      <c r="AC90" s="108"/>
      <c r="AD90" s="109"/>
      <c r="AF90" s="262" t="str">
        <f>informatieblad!$A$2</f>
        <v>FL20 loose</v>
      </c>
      <c r="AG90" s="263"/>
      <c r="AH90" s="262" t="str">
        <f>informatieblad!$A$3</f>
        <v>FL30 loose</v>
      </c>
      <c r="AI90" s="105"/>
      <c r="AJ90" s="263" t="str">
        <f>informatieblad!$A$4</f>
        <v>FL40 loose</v>
      </c>
      <c r="AK90" s="105"/>
      <c r="AL90" s="265"/>
      <c r="AM90" s="105"/>
      <c r="AN90" s="83" t="str">
        <f>'UC mounting materials '!$B$10</f>
        <v>Rail 30x15</v>
      </c>
      <c r="AO90" s="327">
        <f>IF(Y91&lt;1000,(Y91+100),0)*C91</f>
        <v>0</v>
      </c>
      <c r="AQ90" s="265" t="s">
        <v>47</v>
      </c>
      <c r="AR90" s="106" t="s">
        <v>48</v>
      </c>
      <c r="AS90" s="83" t="s">
        <v>23</v>
      </c>
      <c r="AT90" s="83" t="s">
        <v>23</v>
      </c>
      <c r="AU90" s="83" t="s">
        <v>23</v>
      </c>
      <c r="AV90" s="273" t="s">
        <v>23</v>
      </c>
    </row>
    <row r="91" spans="1:48" ht="15.75" customHeight="1" thickBot="1">
      <c r="A91" s="468"/>
      <c r="B91" s="92" t="s">
        <v>23</v>
      </c>
      <c r="C91" s="110"/>
      <c r="D91" s="94">
        <f>C91*N91</f>
        <v>0</v>
      </c>
      <c r="E91" s="141" t="s">
        <v>24</v>
      </c>
      <c r="F91" s="451" t="s">
        <v>25</v>
      </c>
      <c r="G91" s="452"/>
      <c r="H91" s="452"/>
      <c r="I91" s="453"/>
      <c r="J91" s="176"/>
      <c r="K91" s="176"/>
      <c r="L91" s="111"/>
      <c r="M91" s="112">
        <f>(((((2*(B89+C89))*(D89+G89+F89))+((2*(D89+E89))*(B89+H89+F89)))/90)*I89)/1000000</f>
        <v>0</v>
      </c>
      <c r="N91" s="112">
        <f>((IF(M91&lt;=informatieblad!$I$14,informatieblad!$I$14,IF(M91&gt;=informatieblad!$I$14,M91))))</f>
        <v>0.5</v>
      </c>
      <c r="O91" s="158">
        <f>(ROUND((((2*(X91+C89))*(((2*PI()*(X91+F89))*(I89/360))+H89+G89))/1000000),2))</f>
        <v>0</v>
      </c>
      <c r="P91" s="158">
        <f>((IF(O91&lt;=informatieblad!$H$14,informatieblad!$H$14,IF(O91&gt;=informatieblad!$H$14,O91))))</f>
        <v>0</v>
      </c>
      <c r="Q91" s="113">
        <f>((P91*AA91)+(P91*T91))*C91</f>
        <v>0</v>
      </c>
      <c r="R91" s="114">
        <f>((N91*AB91)+(N91*U91))*C91</f>
        <v>0</v>
      </c>
      <c r="S91" s="115" t="str">
        <f>F91</f>
        <v>Options None</v>
      </c>
      <c r="T91" s="115">
        <f>VLOOKUP(F91,informatieblad!$A$37:$D$41,2,FALSE)</f>
        <v>0</v>
      </c>
      <c r="U91" s="115">
        <f>VLOOKUP(F91,informatieblad!$A$37:$D$41,4,FALSE)</f>
        <v>0</v>
      </c>
      <c r="V91" s="180">
        <f>(MAX(B89,C89))</f>
        <v>0</v>
      </c>
      <c r="W91" s="119">
        <f>(MAX(D89,E89))</f>
        <v>0</v>
      </c>
      <c r="X91" s="119">
        <f>(MAX(B89,D89))</f>
        <v>0</v>
      </c>
      <c r="Y91" s="119">
        <f>(MAX(B89:E89))</f>
        <v>0</v>
      </c>
      <c r="Z91" s="119">
        <f>LOOKUP(Y91,informatieblad!$C$27:$C$32,informatieblad!$A$27:$A$32)</f>
        <v>0.5</v>
      </c>
      <c r="AA91" s="118">
        <f>VLOOKUP(Z91,informatieblad!$A$27:$M$32,6,FALSE)</f>
        <v>0</v>
      </c>
      <c r="AB91" s="118">
        <f>VLOOKUP(Z91,informatieblad!$A$27:$M$32,8,FALSE)</f>
        <v>45.1248</v>
      </c>
      <c r="AC91" s="120">
        <f>VLOOKUP(Z91,informatieblad!$A$27:$M$32,13,FALSE)</f>
        <v>4</v>
      </c>
      <c r="AD91" s="121">
        <f>ROUND((AC91*M91),1)</f>
        <v>0</v>
      </c>
      <c r="AF91" s="281">
        <f>IF(B90=AF89,(2*B89)+(2*C89),IF(B90=AF90,(2*B89)+(2*C89),0))*C91</f>
        <v>0</v>
      </c>
      <c r="AG91" s="261">
        <f>IF(D90=AF89,(2*D89)+(2*E89),IF(D90=AF90,(2*D89)+(2*E89),0))*C91</f>
        <v>0</v>
      </c>
      <c r="AH91" s="111">
        <f>IF(B90=AH89,(2*B89)+(2*C89),IF(B90=AH90,(2*B89)+(2*C89),0))*C91</f>
        <v>0</v>
      </c>
      <c r="AI91" s="260">
        <f>IF(D90=AH89,(2*D89)+(2*E89),IF(D90=AH90,(2*D89)+(2*E89),0))*C91</f>
        <v>0</v>
      </c>
      <c r="AJ91" s="261">
        <f>IF(B90=AJ89,(2*B89)+(2*C89),IF(B90=AJ90,(2*B89)+(2*C89),0))*C91</f>
        <v>0</v>
      </c>
      <c r="AK91" s="260">
        <f>IF(D90=AJ89,(2*D89)+(2*E89),IF(D90=AJ90,(2*D89)+(2*E89),0))*C91</f>
        <v>0</v>
      </c>
      <c r="AL91" s="111">
        <f>IF(B90=AL89,(2*B89)+(2*C89),0)*C91</f>
        <v>0</v>
      </c>
      <c r="AM91" s="260">
        <f>IF(D90=AL89,(2*D89)+(2*E89),0)*C91</f>
        <v>0</v>
      </c>
      <c r="AN91" s="83" t="str">
        <f>'UC mounting materials '!$B$11</f>
        <v>Rail 41x41</v>
      </c>
      <c r="AO91" s="268">
        <f>IF(Y91&gt;999,(Y91+100),0)*C91</f>
        <v>0</v>
      </c>
      <c r="AQ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AR91" s="275" t="str">
        <f>IF(D90=informatieblad!$A$6,informatieblad!$B$6,IF(D90=informatieblad!$A$7,informatieblad!$B$7,IF(D90=informatieblad!$A$8,informatieblad!$B$8,IF(D90=informatieblad!$A$2,informatieblad!$B$2,IF(D90=informatieblad!$A$3,informatieblad!$B$3,IF(D90=informatieblad!$A$4,informatieblad!$B$4,IF(D90=informatieblad!$A$5,informatieblad!$B$5,"")))))))</f>
        <v/>
      </c>
      <c r="AS91" s="276">
        <f>IF(AQ91=AS89,(4*C91),0)</f>
        <v>0</v>
      </c>
      <c r="AT91" s="276">
        <f>IF(AR91=AS89,(4*C91),0)</f>
        <v>0</v>
      </c>
      <c r="AU91" s="276">
        <f>IF(AQ91=AU89,(4*C91),0)</f>
        <v>0</v>
      </c>
      <c r="AV91" s="274">
        <f>IF(AR91=AU89,(4*C91),0)</f>
        <v>0</v>
      </c>
    </row>
    <row r="92" spans="1:48" ht="5.0999999999999996" customHeight="1" thickBot="1">
      <c r="A92" s="145"/>
      <c r="B92" s="122"/>
      <c r="C92" s="122"/>
      <c r="D92" s="122"/>
      <c r="E92" s="122"/>
      <c r="F92" s="122"/>
      <c r="G92" s="122"/>
      <c r="H92" s="122"/>
      <c r="I92" s="146"/>
    </row>
    <row r="93" spans="1:48" ht="15.75" customHeight="1" thickBot="1">
      <c r="A93" s="445"/>
      <c r="B93" s="96"/>
      <c r="C93" s="96"/>
      <c r="D93" s="96"/>
      <c r="E93" s="167">
        <f>C93</f>
        <v>0</v>
      </c>
      <c r="F93" s="177">
        <f>(B93&gt;0)*$I$10</f>
        <v>0</v>
      </c>
      <c r="G93" s="177">
        <f>(B93&gt;0)*$I$11</f>
        <v>0</v>
      </c>
      <c r="H93" s="177">
        <f>(B93&gt;0)*$I$12</f>
        <v>0</v>
      </c>
      <c r="I93" s="178"/>
      <c r="J93" s="345" t="s">
        <v>20</v>
      </c>
      <c r="K93" s="83"/>
      <c r="L93" s="97" t="s">
        <v>14</v>
      </c>
      <c r="M93" s="98" t="s">
        <v>27</v>
      </c>
      <c r="N93" s="98" t="s">
        <v>28</v>
      </c>
      <c r="O93" s="98" t="s">
        <v>27</v>
      </c>
      <c r="P93" s="98" t="s">
        <v>28</v>
      </c>
      <c r="Q93" s="98" t="s">
        <v>29</v>
      </c>
      <c r="R93" s="66" t="s">
        <v>30</v>
      </c>
      <c r="S93" s="153" t="s">
        <v>31</v>
      </c>
      <c r="T93" s="153"/>
      <c r="U93" s="153"/>
      <c r="V93" s="154" t="s">
        <v>83</v>
      </c>
      <c r="W93" s="100" t="s">
        <v>83</v>
      </c>
      <c r="X93" s="100" t="s">
        <v>83</v>
      </c>
      <c r="Y93" s="100" t="s">
        <v>33</v>
      </c>
      <c r="Z93" s="100" t="s">
        <v>34</v>
      </c>
      <c r="AA93" s="98" t="s">
        <v>32</v>
      </c>
      <c r="AB93" s="98" t="s">
        <v>32</v>
      </c>
      <c r="AC93" s="98" t="s">
        <v>50</v>
      </c>
      <c r="AD93" s="101" t="s">
        <v>36</v>
      </c>
      <c r="AF93" s="97" t="str">
        <f>informatieblad!$A$6</f>
        <v>FL20</v>
      </c>
      <c r="AG93" s="99"/>
      <c r="AH93" s="97" t="str">
        <f>informatieblad!$A$7</f>
        <v>FL30</v>
      </c>
      <c r="AI93" s="66"/>
      <c r="AJ93" s="99" t="str">
        <f>informatieblad!$A$8</f>
        <v>FL40</v>
      </c>
      <c r="AK93" s="66"/>
      <c r="AL93" s="97" t="str">
        <f>informatieblad!$A$5</f>
        <v>none</v>
      </c>
      <c r="AM93" s="264"/>
      <c r="AO93" s="266" t="s">
        <v>37</v>
      </c>
      <c r="AQ93" s="269" t="s">
        <v>38</v>
      </c>
      <c r="AR93" s="272"/>
      <c r="AS93" s="272">
        <f>informatieblad!$B$3</f>
        <v>0</v>
      </c>
      <c r="AT93" s="272">
        <f>informatieblad!$B$3</f>
        <v>0</v>
      </c>
      <c r="AU93" s="272">
        <f>informatieblad!$B$4</f>
        <v>0</v>
      </c>
      <c r="AV93" s="264">
        <f>informatieblad!$B$4</f>
        <v>0</v>
      </c>
    </row>
    <row r="94" spans="1:48" ht="15.75" customHeight="1">
      <c r="A94" s="475"/>
      <c r="B94" s="479" t="str">
        <f>IF($C95&gt;0,IF(MAX(B93:C93)&lt;informatieblad!$Q$4,informatieblad!$P$3,IF(MAX(B93:C93)&gt;informatieblad!$R$4,informatieblad!$P$5,informatieblad!$P$4)),"")</f>
        <v/>
      </c>
      <c r="C94" s="480"/>
      <c r="D94" s="479" t="str">
        <f>IF($C95&gt;0,IF(MAX(D93:E93)&lt;informatieblad!$Q$4,informatieblad!$P$3,IF(MAX(D93:E93)&gt;informatieblad!$R$4,informatieblad!$P$5,informatieblad!$P$4)),"")</f>
        <v/>
      </c>
      <c r="E94" s="480"/>
      <c r="F94" s="173" t="str">
        <f>A93&amp;"-"&amp;informatieblad!$B$14&amp;"-"&amp;B93&amp;"-"&amp;C93&amp;"-"&amp;D93&amp;"-"&amp;E93&amp;"-"&amp;F93&amp;"-"&amp;G93&amp;"-"&amp;H93&amp;"-"&amp;I93&amp;"-"&amp;B94&amp;"-"&amp;D94&amp;"-"&amp;F95</f>
        <v>-RctB----0-0-0-0----Options None</v>
      </c>
      <c r="G94" s="174"/>
      <c r="H94" s="179"/>
      <c r="I94" s="175"/>
      <c r="J94" s="83"/>
      <c r="K94" s="83"/>
      <c r="L94" s="103">
        <f>A93</f>
        <v>0</v>
      </c>
      <c r="M94" s="104" t="s">
        <v>39</v>
      </c>
      <c r="N94" s="104" t="s">
        <v>39</v>
      </c>
      <c r="O94" s="104" t="s">
        <v>40</v>
      </c>
      <c r="P94" s="104" t="s">
        <v>40</v>
      </c>
      <c r="Q94" s="104" t="s">
        <v>40</v>
      </c>
      <c r="R94" s="105"/>
      <c r="S94" s="155" t="s">
        <v>27</v>
      </c>
      <c r="T94" s="155" t="s">
        <v>40</v>
      </c>
      <c r="U94" s="155" t="s">
        <v>41</v>
      </c>
      <c r="V94" s="156" t="s">
        <v>109</v>
      </c>
      <c r="W94" s="104" t="s">
        <v>110</v>
      </c>
      <c r="X94" s="107" t="s">
        <v>95</v>
      </c>
      <c r="Y94" s="107"/>
      <c r="Z94" s="107"/>
      <c r="AA94" s="104" t="s">
        <v>40</v>
      </c>
      <c r="AB94" s="104" t="s">
        <v>41</v>
      </c>
      <c r="AC94" s="108"/>
      <c r="AD94" s="109"/>
      <c r="AF94" s="262" t="str">
        <f>informatieblad!$A$2</f>
        <v>FL20 loose</v>
      </c>
      <c r="AG94" s="263"/>
      <c r="AH94" s="262" t="str">
        <f>informatieblad!$A$3</f>
        <v>FL30 loose</v>
      </c>
      <c r="AI94" s="105"/>
      <c r="AJ94" s="263" t="str">
        <f>informatieblad!$A$4</f>
        <v>FL40 loose</v>
      </c>
      <c r="AK94" s="105"/>
      <c r="AL94" s="265"/>
      <c r="AM94" s="105"/>
      <c r="AN94" s="83" t="str">
        <f>'UC mounting materials '!$B$10</f>
        <v>Rail 30x15</v>
      </c>
      <c r="AO94" s="327">
        <f>IF(Y95&lt;1000,(Y95+100),0)*C95</f>
        <v>0</v>
      </c>
      <c r="AQ94" s="265" t="s">
        <v>47</v>
      </c>
      <c r="AR94" s="106" t="s">
        <v>48</v>
      </c>
      <c r="AS94" s="83" t="s">
        <v>23</v>
      </c>
      <c r="AT94" s="83" t="s">
        <v>23</v>
      </c>
      <c r="AU94" s="83" t="s">
        <v>23</v>
      </c>
      <c r="AV94" s="273" t="s">
        <v>23</v>
      </c>
    </row>
    <row r="95" spans="1:48" ht="15.75" customHeight="1" thickBot="1">
      <c r="A95" s="447"/>
      <c r="B95" s="92" t="s">
        <v>23</v>
      </c>
      <c r="C95" s="110"/>
      <c r="D95" s="94">
        <f>C95*N95</f>
        <v>0</v>
      </c>
      <c r="E95" s="141" t="s">
        <v>24</v>
      </c>
      <c r="F95" s="451" t="s">
        <v>25</v>
      </c>
      <c r="G95" s="452"/>
      <c r="H95" s="452"/>
      <c r="I95" s="453"/>
      <c r="J95" s="176"/>
      <c r="K95" s="176"/>
      <c r="L95" s="111"/>
      <c r="M95" s="112">
        <f>(((((2*(B93+C93))*(D93+G93+F93))+((2*(D93+E93))*(B93+H93+F93)))/90)*I93)/1000000</f>
        <v>0</v>
      </c>
      <c r="N95" s="112">
        <f>((IF(M95&lt;=informatieblad!$I$14,informatieblad!$I$14,IF(M95&gt;=informatieblad!$I$14,M95))))</f>
        <v>0.5</v>
      </c>
      <c r="O95" s="158">
        <f>(ROUND((((2*(X95+C93))*(((2*PI()*(X95+F93))*(I93/360))+H93+G93))/1000000),2))</f>
        <v>0</v>
      </c>
      <c r="P95" s="158">
        <f>((IF(O95&lt;=informatieblad!$H$14,informatieblad!$H$14,IF(O95&gt;=informatieblad!$H$14,O95))))</f>
        <v>0</v>
      </c>
      <c r="Q95" s="113">
        <f>((P95*AA95)+(P95*T95))*C95</f>
        <v>0</v>
      </c>
      <c r="R95" s="114">
        <f>((N95*AB95)+(N95*U95))*C95</f>
        <v>0</v>
      </c>
      <c r="S95" s="115" t="str">
        <f>F95</f>
        <v>Options None</v>
      </c>
      <c r="T95" s="115">
        <f>VLOOKUP(F95,informatieblad!$A$37:$D$41,2,FALSE)</f>
        <v>0</v>
      </c>
      <c r="U95" s="115">
        <f>VLOOKUP(F95,informatieblad!$A$37:$D$41,4,FALSE)</f>
        <v>0</v>
      </c>
      <c r="V95" s="180">
        <f>(MAX(B93,C93))</f>
        <v>0</v>
      </c>
      <c r="W95" s="119">
        <f>(MAX(D93,E93))</f>
        <v>0</v>
      </c>
      <c r="X95" s="119">
        <f>(MAX(B93,D93))</f>
        <v>0</v>
      </c>
      <c r="Y95" s="119">
        <f>(MAX(B93:E93))</f>
        <v>0</v>
      </c>
      <c r="Z95" s="119">
        <f>LOOKUP(Y95,informatieblad!$C$27:$C$32,informatieblad!$A$27:$A$32)</f>
        <v>0.5</v>
      </c>
      <c r="AA95" s="118">
        <f>VLOOKUP(Z95,informatieblad!$A$27:$M$32,6,FALSE)</f>
        <v>0</v>
      </c>
      <c r="AB95" s="118">
        <f>VLOOKUP(Z95,informatieblad!$A$27:$M$32,8,FALSE)</f>
        <v>45.1248</v>
      </c>
      <c r="AC95" s="120">
        <f>VLOOKUP(Z95,informatieblad!$A$27:$M$32,13,FALSE)</f>
        <v>4</v>
      </c>
      <c r="AD95" s="121">
        <f>ROUND((AC95*M95),1)</f>
        <v>0</v>
      </c>
      <c r="AF95" s="281">
        <f>IF(B94=AF93,(2*B93)+(2*C93),IF(B94=AF94,(2*B93)+(2*C93),0))*C95</f>
        <v>0</v>
      </c>
      <c r="AG95" s="261">
        <f>IF(D94=AF93,(2*D93)+(2*E93),IF(D94=AF94,(2*D93)+(2*E93),0))*C95</f>
        <v>0</v>
      </c>
      <c r="AH95" s="111">
        <f>IF(B94=AH93,(2*B93)+(2*C93),IF(B94=AH94,(2*B93)+(2*C93),0))*C95</f>
        <v>0</v>
      </c>
      <c r="AI95" s="260">
        <f>IF(D94=AH93,(2*D93)+(2*E93),IF(D94=AH94,(2*D93)+(2*E93),0))*C95</f>
        <v>0</v>
      </c>
      <c r="AJ95" s="261">
        <f>IF(B94=AJ93,(2*B93)+(2*C93),IF(B94=AJ94,(2*B93)+(2*C93),0))*C95</f>
        <v>0</v>
      </c>
      <c r="AK95" s="260">
        <f>IF(D94=AJ93,(2*D93)+(2*E93),IF(D94=AJ94,(2*D93)+(2*E93),0))*C95</f>
        <v>0</v>
      </c>
      <c r="AL95" s="111">
        <f>IF(B94=AL93,(2*B93)+(2*C93),0)*C95</f>
        <v>0</v>
      </c>
      <c r="AM95" s="260">
        <f>IF(D94=AL93,(2*D93)+(2*E93),0)*C95</f>
        <v>0</v>
      </c>
      <c r="AN95" s="83" t="str">
        <f>'UC mounting materials '!$B$11</f>
        <v>Rail 41x41</v>
      </c>
      <c r="AO95" s="268">
        <f>IF(Y95&gt;999,(Y95+100),0)*C95</f>
        <v>0</v>
      </c>
      <c r="AQ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AR95" s="275" t="str">
        <f>IF(D94=informatieblad!$A$6,informatieblad!$B$6,IF(D94=informatieblad!$A$7,informatieblad!$B$7,IF(D94=informatieblad!$A$8,informatieblad!$B$8,IF(D94=informatieblad!$A$2,informatieblad!$B$2,IF(D94=informatieblad!$A$3,informatieblad!$B$3,IF(D94=informatieblad!$A$4,informatieblad!$B$4,IF(D94=informatieblad!$A$5,informatieblad!$B$5,"")))))))</f>
        <v/>
      </c>
      <c r="AS95" s="276">
        <f>IF(AQ95=AS93,(4*C95),0)</f>
        <v>0</v>
      </c>
      <c r="AT95" s="276">
        <f>IF(AR95=AS93,(4*C95),0)</f>
        <v>0</v>
      </c>
      <c r="AU95" s="276">
        <f>IF(AQ95=AU93,(4*C95),0)</f>
        <v>0</v>
      </c>
      <c r="AV95" s="274">
        <f>IF(AR95=AU93,(4*C95),0)</f>
        <v>0</v>
      </c>
    </row>
    <row r="96" spans="1:48" ht="5.0999999999999996" customHeight="1" thickBot="1">
      <c r="A96" s="145"/>
      <c r="B96" s="122"/>
      <c r="C96" s="122"/>
      <c r="D96" s="122"/>
      <c r="E96" s="122"/>
      <c r="F96" s="122"/>
      <c r="G96" s="122"/>
      <c r="H96" s="122"/>
      <c r="I96" s="146"/>
      <c r="R96" s="144"/>
      <c r="S96" s="144"/>
      <c r="T96" s="144"/>
      <c r="U96" s="144"/>
    </row>
    <row r="97" spans="1:48" ht="15.75" customHeight="1" thickBot="1">
      <c r="A97" s="445"/>
      <c r="B97" s="96"/>
      <c r="C97" s="96"/>
      <c r="D97" s="96"/>
      <c r="E97" s="167">
        <f>C97</f>
        <v>0</v>
      </c>
      <c r="F97" s="177">
        <f>(B97&gt;0)*$I$10</f>
        <v>0</v>
      </c>
      <c r="G97" s="177">
        <f>(B97&gt;0)*$I$11</f>
        <v>0</v>
      </c>
      <c r="H97" s="177">
        <f>(B97&gt;0)*$I$12</f>
        <v>0</v>
      </c>
      <c r="I97" s="178"/>
      <c r="J97" s="345" t="s">
        <v>20</v>
      </c>
      <c r="K97" s="83"/>
      <c r="L97" s="97" t="s">
        <v>14</v>
      </c>
      <c r="M97" s="98" t="s">
        <v>27</v>
      </c>
      <c r="N97" s="98" t="s">
        <v>28</v>
      </c>
      <c r="O97" s="98" t="s">
        <v>27</v>
      </c>
      <c r="P97" s="98" t="s">
        <v>28</v>
      </c>
      <c r="Q97" s="98" t="s">
        <v>29</v>
      </c>
      <c r="R97" s="66" t="s">
        <v>30</v>
      </c>
      <c r="S97" s="153" t="s">
        <v>31</v>
      </c>
      <c r="T97" s="153"/>
      <c r="U97" s="153"/>
      <c r="V97" s="154" t="s">
        <v>83</v>
      </c>
      <c r="W97" s="100" t="s">
        <v>83</v>
      </c>
      <c r="X97" s="100" t="s">
        <v>83</v>
      </c>
      <c r="Y97" s="100" t="s">
        <v>33</v>
      </c>
      <c r="Z97" s="100" t="s">
        <v>34</v>
      </c>
      <c r="AA97" s="98" t="s">
        <v>32</v>
      </c>
      <c r="AB97" s="98" t="s">
        <v>32</v>
      </c>
      <c r="AC97" s="98" t="s">
        <v>50</v>
      </c>
      <c r="AD97" s="101" t="s">
        <v>36</v>
      </c>
      <c r="AF97" s="97" t="str">
        <f>informatieblad!$A$6</f>
        <v>FL20</v>
      </c>
      <c r="AG97" s="99"/>
      <c r="AH97" s="97" t="str">
        <f>informatieblad!$A$7</f>
        <v>FL30</v>
      </c>
      <c r="AI97" s="66"/>
      <c r="AJ97" s="99" t="str">
        <f>informatieblad!$A$8</f>
        <v>FL40</v>
      </c>
      <c r="AK97" s="66"/>
      <c r="AL97" s="97" t="str">
        <f>informatieblad!$A$5</f>
        <v>none</v>
      </c>
      <c r="AM97" s="264"/>
      <c r="AO97" s="266" t="s">
        <v>37</v>
      </c>
      <c r="AQ97" s="269" t="s">
        <v>38</v>
      </c>
      <c r="AR97" s="272"/>
      <c r="AS97" s="272">
        <f>informatieblad!$B$3</f>
        <v>0</v>
      </c>
      <c r="AT97" s="272">
        <f>informatieblad!$B$3</f>
        <v>0</v>
      </c>
      <c r="AU97" s="272">
        <f>informatieblad!$B$4</f>
        <v>0</v>
      </c>
      <c r="AV97" s="264">
        <f>informatieblad!$B$4</f>
        <v>0</v>
      </c>
    </row>
    <row r="98" spans="1:48" ht="15.75" customHeight="1">
      <c r="A98" s="475"/>
      <c r="B98" s="479" t="str">
        <f>IF($C99&gt;0,IF(MAX(B97:C97)&lt;informatieblad!$Q$4,informatieblad!$P$3,IF(MAX(B97:C97)&gt;informatieblad!$R$4,informatieblad!$P$5,informatieblad!$P$4)),"")</f>
        <v/>
      </c>
      <c r="C98" s="480"/>
      <c r="D98" s="479" t="str">
        <f>IF($C99&gt;0,IF(MAX(D97:E97)&lt;informatieblad!$Q$4,informatieblad!$P$3,IF(MAX(D97:E97)&gt;informatieblad!$R$4,informatieblad!$P$5,informatieblad!$P$4)),"")</f>
        <v/>
      </c>
      <c r="E98" s="480"/>
      <c r="F98" s="173" t="str">
        <f>A97&amp;"-"&amp;informatieblad!$B$14&amp;"-"&amp;B97&amp;"-"&amp;C97&amp;"-"&amp;D97&amp;"-"&amp;E97&amp;"-"&amp;F97&amp;"-"&amp;G97&amp;"-"&amp;H97&amp;"-"&amp;I97&amp;"-"&amp;B98&amp;"-"&amp;D98&amp;"-"&amp;F99</f>
        <v>-RctB----0-0-0-0----Options None</v>
      </c>
      <c r="G98" s="174"/>
      <c r="H98" s="179"/>
      <c r="I98" s="175"/>
      <c r="J98" s="83"/>
      <c r="K98" s="83"/>
      <c r="L98" s="103">
        <f>A97</f>
        <v>0</v>
      </c>
      <c r="M98" s="104" t="s">
        <v>39</v>
      </c>
      <c r="N98" s="104" t="s">
        <v>39</v>
      </c>
      <c r="O98" s="104" t="s">
        <v>40</v>
      </c>
      <c r="P98" s="104" t="s">
        <v>40</v>
      </c>
      <c r="Q98" s="104" t="s">
        <v>40</v>
      </c>
      <c r="R98" s="105"/>
      <c r="S98" s="155" t="s">
        <v>27</v>
      </c>
      <c r="T98" s="155" t="s">
        <v>40</v>
      </c>
      <c r="U98" s="155" t="s">
        <v>41</v>
      </c>
      <c r="V98" s="156" t="s">
        <v>109</v>
      </c>
      <c r="W98" s="104" t="s">
        <v>110</v>
      </c>
      <c r="X98" s="107" t="s">
        <v>95</v>
      </c>
      <c r="Y98" s="107"/>
      <c r="Z98" s="107"/>
      <c r="AA98" s="104" t="s">
        <v>40</v>
      </c>
      <c r="AB98" s="104" t="s">
        <v>41</v>
      </c>
      <c r="AC98" s="108"/>
      <c r="AD98" s="109"/>
      <c r="AF98" s="262" t="str">
        <f>informatieblad!$A$2</f>
        <v>FL20 loose</v>
      </c>
      <c r="AG98" s="263"/>
      <c r="AH98" s="262" t="str">
        <f>informatieblad!$A$3</f>
        <v>FL30 loose</v>
      </c>
      <c r="AI98" s="105"/>
      <c r="AJ98" s="263" t="str">
        <f>informatieblad!$A$4</f>
        <v>FL40 loose</v>
      </c>
      <c r="AK98" s="105"/>
      <c r="AL98" s="265"/>
      <c r="AM98" s="105"/>
      <c r="AN98" s="83" t="str">
        <f>'UC mounting materials '!$B$10</f>
        <v>Rail 30x15</v>
      </c>
      <c r="AO98" s="327">
        <f>IF(Y99&lt;1000,(Y99+100),0)*C99</f>
        <v>0</v>
      </c>
      <c r="AQ98" s="265" t="s">
        <v>47</v>
      </c>
      <c r="AR98" s="106" t="s">
        <v>48</v>
      </c>
      <c r="AS98" s="83" t="s">
        <v>23</v>
      </c>
      <c r="AT98" s="83" t="s">
        <v>23</v>
      </c>
      <c r="AU98" s="83" t="s">
        <v>23</v>
      </c>
      <c r="AV98" s="273" t="s">
        <v>23</v>
      </c>
    </row>
    <row r="99" spans="1:48" ht="15.75" customHeight="1" thickBot="1">
      <c r="A99" s="447"/>
      <c r="B99" s="92" t="s">
        <v>23</v>
      </c>
      <c r="C99" s="110"/>
      <c r="D99" s="94">
        <f>C99*N99</f>
        <v>0</v>
      </c>
      <c r="E99" s="141" t="s">
        <v>24</v>
      </c>
      <c r="F99" s="451" t="s">
        <v>25</v>
      </c>
      <c r="G99" s="452"/>
      <c r="H99" s="452"/>
      <c r="I99" s="453"/>
      <c r="J99" s="176"/>
      <c r="K99" s="176"/>
      <c r="L99" s="111"/>
      <c r="M99" s="112">
        <f>(((((2*(B97+C97))*(D97+G97+F97))+((2*(D97+E97))*(B97+H97+F97)))/90)*I97)/1000000</f>
        <v>0</v>
      </c>
      <c r="N99" s="112">
        <f>((IF(M99&lt;=informatieblad!$I$14,informatieblad!$I$14,IF(M99&gt;=informatieblad!$I$14,M99))))</f>
        <v>0.5</v>
      </c>
      <c r="O99" s="158">
        <f>(ROUND((((2*(X99+C97))*(((2*PI()*(X99+F97))*(I97/360))+H97+G97))/1000000),2))</f>
        <v>0</v>
      </c>
      <c r="P99" s="158">
        <f>((IF(O99&lt;=informatieblad!$H$14,informatieblad!$H$14,IF(O99&gt;=informatieblad!$H$14,O99))))</f>
        <v>0</v>
      </c>
      <c r="Q99" s="113">
        <f>((P99*AA99)+(P99*T99))*C99</f>
        <v>0</v>
      </c>
      <c r="R99" s="114">
        <f>((N99*AB99)+(N99*U99))*C99</f>
        <v>0</v>
      </c>
      <c r="S99" s="115" t="str">
        <f>F99</f>
        <v>Options None</v>
      </c>
      <c r="T99" s="115">
        <f>VLOOKUP(F99,informatieblad!$A$37:$D$41,2,FALSE)</f>
        <v>0</v>
      </c>
      <c r="U99" s="115">
        <f>VLOOKUP(F99,informatieblad!$A$37:$D$41,4,FALSE)</f>
        <v>0</v>
      </c>
      <c r="V99" s="180">
        <f>(MAX(B97,C97))</f>
        <v>0</v>
      </c>
      <c r="W99" s="119">
        <f>(MAX(D97,E97))</f>
        <v>0</v>
      </c>
      <c r="X99" s="119">
        <f>(MAX(B97,D97))</f>
        <v>0</v>
      </c>
      <c r="Y99" s="119">
        <f>(MAX(B97:E97))</f>
        <v>0</v>
      </c>
      <c r="Z99" s="119">
        <f>LOOKUP(Y99,informatieblad!$C$27:$C$32,informatieblad!$A$27:$A$32)</f>
        <v>0.5</v>
      </c>
      <c r="AA99" s="118">
        <f>VLOOKUP(Z99,informatieblad!$A$27:$M$32,6,FALSE)</f>
        <v>0</v>
      </c>
      <c r="AB99" s="118">
        <f>VLOOKUP(Z99,informatieblad!$A$27:$M$32,8,FALSE)</f>
        <v>45.1248</v>
      </c>
      <c r="AC99" s="120">
        <f>VLOOKUP(Z99,informatieblad!$A$27:$M$32,13,FALSE)</f>
        <v>4</v>
      </c>
      <c r="AD99" s="121">
        <f>ROUND((AC99*M99),1)</f>
        <v>0</v>
      </c>
      <c r="AF99" s="281">
        <f>IF(B98=AF97,(2*B97)+(2*C97),IF(B98=AF98,(2*B97)+(2*C97),0))*C99</f>
        <v>0</v>
      </c>
      <c r="AG99" s="261">
        <f>IF(D98=AF97,(2*D97)+(2*E97),IF(D98=AF98,(2*D97)+(2*E97),0))*C99</f>
        <v>0</v>
      </c>
      <c r="AH99" s="111">
        <f>IF(B98=AH97,(2*B97)+(2*C97),IF(B98=AH98,(2*B97)+(2*C97),0))*C99</f>
        <v>0</v>
      </c>
      <c r="AI99" s="260">
        <f>IF(D98=AH97,(2*D97)+(2*E97),IF(D98=AH98,(2*D97)+(2*E97),0))*C99</f>
        <v>0</v>
      </c>
      <c r="AJ99" s="261">
        <f>IF(B98=AJ97,(2*B97)+(2*C97),IF(B98=AJ98,(2*B97)+(2*C97),0))*C99</f>
        <v>0</v>
      </c>
      <c r="AK99" s="260">
        <f>IF(D98=AJ97,(2*D97)+(2*E97),IF(D98=AJ98,(2*D97)+(2*E97),0))*C99</f>
        <v>0</v>
      </c>
      <c r="AL99" s="111">
        <f>IF(B98=AL97,(2*B97)+(2*C97),0)*C99</f>
        <v>0</v>
      </c>
      <c r="AM99" s="260">
        <f>IF(D98=AL97,(2*D97)+(2*E97),0)*C99</f>
        <v>0</v>
      </c>
      <c r="AN99" s="83" t="str">
        <f>'UC mounting materials '!$B$11</f>
        <v>Rail 41x41</v>
      </c>
      <c r="AO99" s="268">
        <f>IF(Y99&gt;999,(Y99+100),0)*C99</f>
        <v>0</v>
      </c>
      <c r="AQ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AR99" s="275" t="str">
        <f>IF(D98=informatieblad!$A$6,informatieblad!$B$6,IF(D98=informatieblad!$A$7,informatieblad!$B$7,IF(D98=informatieblad!$A$8,informatieblad!$B$8,IF(D98=informatieblad!$A$2,informatieblad!$B$2,IF(D98=informatieblad!$A$3,informatieblad!$B$3,IF(D98=informatieblad!$A$4,informatieblad!$B$4,IF(D98=informatieblad!$A$5,informatieblad!$B$5,"")))))))</f>
        <v/>
      </c>
      <c r="AS99" s="276">
        <f>IF(AQ99=AS97,(4*C99),0)</f>
        <v>0</v>
      </c>
      <c r="AT99" s="276">
        <f>IF(AR99=AS97,(4*C99),0)</f>
        <v>0</v>
      </c>
      <c r="AU99" s="276">
        <f>IF(AQ99=AU97,(4*C99),0)</f>
        <v>0</v>
      </c>
      <c r="AV99" s="274">
        <f>IF(AR99=AU97,(4*C99),0)</f>
        <v>0</v>
      </c>
    </row>
    <row r="100" spans="1:48" ht="5.0999999999999996" customHeight="1" thickBot="1">
      <c r="A100" s="145"/>
      <c r="B100" s="122"/>
      <c r="C100" s="122"/>
      <c r="D100" s="122"/>
      <c r="E100" s="122"/>
      <c r="F100" s="122"/>
      <c r="G100" s="122"/>
      <c r="H100" s="122"/>
      <c r="I100" s="146"/>
    </row>
    <row r="101" spans="1:48" ht="15.75" customHeight="1" thickBot="1">
      <c r="A101" s="445"/>
      <c r="B101" s="96"/>
      <c r="C101" s="96"/>
      <c r="D101" s="96"/>
      <c r="E101" s="167">
        <f>C101</f>
        <v>0</v>
      </c>
      <c r="F101" s="177">
        <f>(B101&gt;0)*$I$10</f>
        <v>0</v>
      </c>
      <c r="G101" s="177">
        <f>(B101&gt;0)*$I$11</f>
        <v>0</v>
      </c>
      <c r="H101" s="177">
        <f>(B101&gt;0)*$I$12</f>
        <v>0</v>
      </c>
      <c r="I101" s="178"/>
      <c r="J101" s="345" t="s">
        <v>20</v>
      </c>
      <c r="K101" s="83"/>
      <c r="L101" s="97" t="s">
        <v>14</v>
      </c>
      <c r="M101" s="98" t="s">
        <v>27</v>
      </c>
      <c r="N101" s="98" t="s">
        <v>28</v>
      </c>
      <c r="O101" s="98" t="s">
        <v>27</v>
      </c>
      <c r="P101" s="98" t="s">
        <v>28</v>
      </c>
      <c r="Q101" s="98" t="s">
        <v>29</v>
      </c>
      <c r="R101" s="66" t="s">
        <v>30</v>
      </c>
      <c r="S101" s="153" t="s">
        <v>31</v>
      </c>
      <c r="T101" s="153"/>
      <c r="U101" s="153"/>
      <c r="V101" s="154" t="s">
        <v>83</v>
      </c>
      <c r="W101" s="100" t="s">
        <v>83</v>
      </c>
      <c r="X101" s="100" t="s">
        <v>83</v>
      </c>
      <c r="Y101" s="100" t="s">
        <v>33</v>
      </c>
      <c r="Z101" s="100" t="s">
        <v>34</v>
      </c>
      <c r="AA101" s="98" t="s">
        <v>32</v>
      </c>
      <c r="AB101" s="98" t="s">
        <v>32</v>
      </c>
      <c r="AC101" s="98" t="s">
        <v>50</v>
      </c>
      <c r="AD101" s="101" t="s">
        <v>36</v>
      </c>
      <c r="AF101" s="97" t="str">
        <f>informatieblad!$A$6</f>
        <v>FL20</v>
      </c>
      <c r="AG101" s="99"/>
      <c r="AH101" s="97" t="str">
        <f>informatieblad!$A$7</f>
        <v>FL30</v>
      </c>
      <c r="AI101" s="66"/>
      <c r="AJ101" s="99" t="str">
        <f>informatieblad!$A$8</f>
        <v>FL40</v>
      </c>
      <c r="AK101" s="66"/>
      <c r="AL101" s="97" t="str">
        <f>informatieblad!$A$5</f>
        <v>none</v>
      </c>
      <c r="AM101" s="264"/>
      <c r="AO101" s="266" t="s">
        <v>37</v>
      </c>
      <c r="AQ101" s="269" t="s">
        <v>38</v>
      </c>
      <c r="AR101" s="272"/>
      <c r="AS101" s="272">
        <f>informatieblad!$B$3</f>
        <v>0</v>
      </c>
      <c r="AT101" s="272">
        <f>informatieblad!$B$3</f>
        <v>0</v>
      </c>
      <c r="AU101" s="272">
        <f>informatieblad!$B$4</f>
        <v>0</v>
      </c>
      <c r="AV101" s="264">
        <f>informatieblad!$B$4</f>
        <v>0</v>
      </c>
    </row>
    <row r="102" spans="1:48" ht="15.75" customHeight="1">
      <c r="A102" s="475"/>
      <c r="B102" s="479" t="str">
        <f>IF($C103&gt;0,IF(MAX(B101:C101)&lt;informatieblad!$Q$4,informatieblad!$P$3,IF(MAX(B101:C101)&gt;informatieblad!$R$4,informatieblad!$P$5,informatieblad!$P$4)),"")</f>
        <v/>
      </c>
      <c r="C102" s="480"/>
      <c r="D102" s="479" t="str">
        <f>IF($C103&gt;0,IF(MAX(D101:E101)&lt;informatieblad!$Q$4,informatieblad!$P$3,IF(MAX(D101:E101)&gt;informatieblad!$R$4,informatieblad!$P$5,informatieblad!$P$4)),"")</f>
        <v/>
      </c>
      <c r="E102" s="480"/>
      <c r="F102" s="173" t="str">
        <f>A101&amp;"-"&amp;informatieblad!$B$14&amp;"-"&amp;B101&amp;"-"&amp;C101&amp;"-"&amp;D101&amp;"-"&amp;E101&amp;"-"&amp;F101&amp;"-"&amp;G101&amp;"-"&amp;H101&amp;"-"&amp;I101&amp;"-"&amp;B102&amp;"-"&amp;D102&amp;"-"&amp;F103</f>
        <v>-RctB----0-0-0-0----Options None</v>
      </c>
      <c r="G102" s="174"/>
      <c r="H102" s="179"/>
      <c r="I102" s="175"/>
      <c r="J102" s="83"/>
      <c r="K102" s="83"/>
      <c r="L102" s="103">
        <f>A101</f>
        <v>0</v>
      </c>
      <c r="M102" s="104" t="s">
        <v>39</v>
      </c>
      <c r="N102" s="104" t="s">
        <v>39</v>
      </c>
      <c r="O102" s="104" t="s">
        <v>40</v>
      </c>
      <c r="P102" s="104" t="s">
        <v>40</v>
      </c>
      <c r="Q102" s="104" t="s">
        <v>40</v>
      </c>
      <c r="R102" s="105"/>
      <c r="S102" s="155" t="s">
        <v>27</v>
      </c>
      <c r="T102" s="155" t="s">
        <v>40</v>
      </c>
      <c r="U102" s="155" t="s">
        <v>41</v>
      </c>
      <c r="V102" s="156" t="s">
        <v>109</v>
      </c>
      <c r="W102" s="104" t="s">
        <v>110</v>
      </c>
      <c r="X102" s="107" t="s">
        <v>95</v>
      </c>
      <c r="Y102" s="107"/>
      <c r="Z102" s="107"/>
      <c r="AA102" s="104" t="s">
        <v>40</v>
      </c>
      <c r="AB102" s="104" t="s">
        <v>41</v>
      </c>
      <c r="AC102" s="108"/>
      <c r="AD102" s="109"/>
      <c r="AF102" s="262" t="str">
        <f>informatieblad!$A$2</f>
        <v>FL20 loose</v>
      </c>
      <c r="AG102" s="263"/>
      <c r="AH102" s="262" t="str">
        <f>informatieblad!$A$3</f>
        <v>FL30 loose</v>
      </c>
      <c r="AI102" s="105"/>
      <c r="AJ102" s="263" t="str">
        <f>informatieblad!$A$4</f>
        <v>FL40 loose</v>
      </c>
      <c r="AK102" s="105"/>
      <c r="AL102" s="265"/>
      <c r="AM102" s="105"/>
      <c r="AN102" s="83" t="str">
        <f>'UC mounting materials '!$B$10</f>
        <v>Rail 30x15</v>
      </c>
      <c r="AO102" s="327">
        <f>IF(Y103&lt;1000,(Y103+100),0)*C103</f>
        <v>0</v>
      </c>
      <c r="AQ102" s="265" t="s">
        <v>47</v>
      </c>
      <c r="AR102" s="106" t="s">
        <v>48</v>
      </c>
      <c r="AS102" s="83" t="s">
        <v>23</v>
      </c>
      <c r="AT102" s="83" t="s">
        <v>23</v>
      </c>
      <c r="AU102" s="83" t="s">
        <v>23</v>
      </c>
      <c r="AV102" s="273" t="s">
        <v>23</v>
      </c>
    </row>
    <row r="103" spans="1:48" ht="15.75" customHeight="1" thickBot="1">
      <c r="A103" s="447"/>
      <c r="B103" s="92" t="s">
        <v>23</v>
      </c>
      <c r="C103" s="110"/>
      <c r="D103" s="94">
        <f>C103*N103</f>
        <v>0</v>
      </c>
      <c r="E103" s="141" t="s">
        <v>24</v>
      </c>
      <c r="F103" s="451" t="s">
        <v>25</v>
      </c>
      <c r="G103" s="452"/>
      <c r="H103" s="452"/>
      <c r="I103" s="453"/>
      <c r="J103" s="176"/>
      <c r="K103" s="176"/>
      <c r="L103" s="111"/>
      <c r="M103" s="112">
        <f>(((((2*(B101+C101))*(D101+G101+F101))+((2*(D101+E101))*(B101+H101+F101)))/90)*I101)/1000000</f>
        <v>0</v>
      </c>
      <c r="N103" s="112">
        <f>((IF(M103&lt;=informatieblad!$I$14,informatieblad!$I$14,IF(M103&gt;=informatieblad!$I$14,M103))))</f>
        <v>0.5</v>
      </c>
      <c r="O103" s="158">
        <f>(ROUND((((2*(X103+C101))*(((2*PI()*(X103+F101))*(I101/360))+H101+G101))/1000000),2))</f>
        <v>0</v>
      </c>
      <c r="P103" s="158">
        <f>((IF(O103&lt;=informatieblad!$H$14,informatieblad!$H$14,IF(O103&gt;=informatieblad!$H$14,O103))))</f>
        <v>0</v>
      </c>
      <c r="Q103" s="113">
        <f>((P103*AA103)+(P103*T103))*C103</f>
        <v>0</v>
      </c>
      <c r="R103" s="114">
        <f>((N103*AB103)+(N103*U103))*C103</f>
        <v>0</v>
      </c>
      <c r="S103" s="115" t="str">
        <f>F103</f>
        <v>Options None</v>
      </c>
      <c r="T103" s="115">
        <f>VLOOKUP(F103,informatieblad!$A$37:$D$41,2,FALSE)</f>
        <v>0</v>
      </c>
      <c r="U103" s="115">
        <f>VLOOKUP(F103,informatieblad!$A$37:$D$41,4,FALSE)</f>
        <v>0</v>
      </c>
      <c r="V103" s="180">
        <f>(MAX(B101,C101))</f>
        <v>0</v>
      </c>
      <c r="W103" s="119">
        <f>(MAX(D101,E101))</f>
        <v>0</v>
      </c>
      <c r="X103" s="119">
        <f>(MAX(B101,D101))</f>
        <v>0</v>
      </c>
      <c r="Y103" s="119">
        <f>(MAX(B101:E101))</f>
        <v>0</v>
      </c>
      <c r="Z103" s="119">
        <f>LOOKUP(Y103,informatieblad!$C$27:$C$32,informatieblad!$A$27:$A$32)</f>
        <v>0.5</v>
      </c>
      <c r="AA103" s="118">
        <f>VLOOKUP(Z103,informatieblad!$A$27:$M$32,6,FALSE)</f>
        <v>0</v>
      </c>
      <c r="AB103" s="118">
        <f>VLOOKUP(Z103,informatieblad!$A$27:$M$32,8,FALSE)</f>
        <v>45.1248</v>
      </c>
      <c r="AC103" s="120">
        <f>VLOOKUP(Z103,informatieblad!$A$27:$M$32,13,FALSE)</f>
        <v>4</v>
      </c>
      <c r="AD103" s="121">
        <f>ROUND((AC103*M103),1)</f>
        <v>0</v>
      </c>
      <c r="AF103" s="281">
        <f>IF(B102=AF101,(2*B101)+(2*C101),IF(B102=AF102,(2*B101)+(2*C101),0))*C103</f>
        <v>0</v>
      </c>
      <c r="AG103" s="261">
        <f>IF(D102=AF101,(2*D101)+(2*E101),IF(D102=AF102,(2*D101)+(2*E101),0))*C103</f>
        <v>0</v>
      </c>
      <c r="AH103" s="111">
        <f>IF(B102=AH101,(2*B101)+(2*C101),IF(B102=AH102,(2*B101)+(2*C101),0))*C103</f>
        <v>0</v>
      </c>
      <c r="AI103" s="260">
        <f>IF(D102=AH101,(2*D101)+(2*E101),IF(D102=AH102,(2*D101)+(2*E101),0))*C103</f>
        <v>0</v>
      </c>
      <c r="AJ103" s="261">
        <f>IF(B102=AJ101,(2*B101)+(2*C101),IF(B102=AJ102,(2*B101)+(2*C101),0))*C103</f>
        <v>0</v>
      </c>
      <c r="AK103" s="260">
        <f>IF(D102=AJ101,(2*D101)+(2*E101),IF(D102=AJ102,(2*D101)+(2*E101),0))*C103</f>
        <v>0</v>
      </c>
      <c r="AL103" s="111">
        <f>IF(B102=AL101,(2*B101)+(2*C101),0)*C103</f>
        <v>0</v>
      </c>
      <c r="AM103" s="260">
        <f>IF(D102=AL101,(2*D101)+(2*E101),0)*C103</f>
        <v>0</v>
      </c>
      <c r="AN103" s="83" t="str">
        <f>'UC mounting materials '!$B$11</f>
        <v>Rail 41x41</v>
      </c>
      <c r="AO103" s="268">
        <f>IF(Y103&gt;999,(Y103+100),0)*C103</f>
        <v>0</v>
      </c>
      <c r="AQ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AR103" s="275" t="str">
        <f>IF(D102=informatieblad!$A$6,informatieblad!$B$6,IF(D102=informatieblad!$A$7,informatieblad!$B$7,IF(D102=informatieblad!$A$8,informatieblad!$B$8,IF(D102=informatieblad!$A$2,informatieblad!$B$2,IF(D102=informatieblad!$A$3,informatieblad!$B$3,IF(D102=informatieblad!$A$4,informatieblad!$B$4,IF(D102=informatieblad!$A$5,informatieblad!$B$5,"")))))))</f>
        <v/>
      </c>
      <c r="AS103" s="276">
        <f>IF(AQ103=AS101,(4*C103),0)</f>
        <v>0</v>
      </c>
      <c r="AT103" s="276">
        <f>IF(AR103=AS101,(4*C103),0)</f>
        <v>0</v>
      </c>
      <c r="AU103" s="276">
        <f>IF(AQ103=AU101,(4*C103),0)</f>
        <v>0</v>
      </c>
      <c r="AV103" s="274">
        <f>IF(AR103=AU101,(4*C103),0)</f>
        <v>0</v>
      </c>
    </row>
    <row r="104" spans="1:48" ht="5.0999999999999996" customHeight="1" thickBot="1">
      <c r="A104" s="145"/>
      <c r="B104" s="122"/>
      <c r="C104" s="122"/>
      <c r="D104" s="122"/>
      <c r="E104" s="122"/>
      <c r="F104" s="122"/>
      <c r="G104" s="122"/>
      <c r="H104" s="122"/>
      <c r="I104" s="146"/>
    </row>
    <row r="105" spans="1:48" ht="15.75" customHeight="1" thickBot="1">
      <c r="A105" s="445"/>
      <c r="B105" s="96"/>
      <c r="C105" s="96"/>
      <c r="D105" s="96"/>
      <c r="E105" s="167">
        <f>C105</f>
        <v>0</v>
      </c>
      <c r="F105" s="177">
        <f>(B105&gt;0)*$I$10</f>
        <v>0</v>
      </c>
      <c r="G105" s="177">
        <f>(B105&gt;0)*$I$11</f>
        <v>0</v>
      </c>
      <c r="H105" s="177">
        <f>(B105&gt;0)*$I$12</f>
        <v>0</v>
      </c>
      <c r="I105" s="178"/>
      <c r="J105" s="345" t="s">
        <v>20</v>
      </c>
      <c r="K105" s="83"/>
      <c r="L105" s="97" t="s">
        <v>14</v>
      </c>
      <c r="M105" s="98" t="s">
        <v>27</v>
      </c>
      <c r="N105" s="98" t="s">
        <v>28</v>
      </c>
      <c r="O105" s="98" t="s">
        <v>27</v>
      </c>
      <c r="P105" s="98" t="s">
        <v>28</v>
      </c>
      <c r="Q105" s="98" t="s">
        <v>29</v>
      </c>
      <c r="R105" s="66" t="s">
        <v>30</v>
      </c>
      <c r="S105" s="153" t="s">
        <v>31</v>
      </c>
      <c r="T105" s="153"/>
      <c r="U105" s="153"/>
      <c r="V105" s="154" t="s">
        <v>83</v>
      </c>
      <c r="W105" s="100" t="s">
        <v>83</v>
      </c>
      <c r="X105" s="100" t="s">
        <v>83</v>
      </c>
      <c r="Y105" s="100" t="s">
        <v>33</v>
      </c>
      <c r="Z105" s="100" t="s">
        <v>34</v>
      </c>
      <c r="AA105" s="98" t="s">
        <v>32</v>
      </c>
      <c r="AB105" s="98" t="s">
        <v>32</v>
      </c>
      <c r="AC105" s="98" t="s">
        <v>50</v>
      </c>
      <c r="AD105" s="101" t="s">
        <v>36</v>
      </c>
      <c r="AF105" s="97" t="str">
        <f>informatieblad!$A$6</f>
        <v>FL20</v>
      </c>
      <c r="AG105" s="99"/>
      <c r="AH105" s="97" t="str">
        <f>informatieblad!$A$7</f>
        <v>FL30</v>
      </c>
      <c r="AI105" s="66"/>
      <c r="AJ105" s="99" t="str">
        <f>informatieblad!$A$8</f>
        <v>FL40</v>
      </c>
      <c r="AK105" s="66"/>
      <c r="AL105" s="97" t="str">
        <f>informatieblad!$A$5</f>
        <v>none</v>
      </c>
      <c r="AM105" s="264"/>
      <c r="AO105" s="266" t="s">
        <v>37</v>
      </c>
      <c r="AQ105" s="269" t="s">
        <v>38</v>
      </c>
      <c r="AR105" s="272"/>
      <c r="AS105" s="272">
        <f>informatieblad!$B$3</f>
        <v>0</v>
      </c>
      <c r="AT105" s="272">
        <f>informatieblad!$B$3</f>
        <v>0</v>
      </c>
      <c r="AU105" s="272">
        <f>informatieblad!$B$4</f>
        <v>0</v>
      </c>
      <c r="AV105" s="264">
        <f>informatieblad!$B$4</f>
        <v>0</v>
      </c>
    </row>
    <row r="106" spans="1:48" ht="15.75" customHeight="1">
      <c r="A106" s="475"/>
      <c r="B106" s="479" t="str">
        <f>IF($C107&gt;0,IF(MAX(B105:C105)&lt;informatieblad!$Q$4,informatieblad!$P$3,IF(MAX(B105:C105)&gt;informatieblad!$R$4,informatieblad!$P$5,informatieblad!$P$4)),"")</f>
        <v/>
      </c>
      <c r="C106" s="480"/>
      <c r="D106" s="479" t="str">
        <f>IF($C107&gt;0,IF(MAX(D105:E105)&lt;informatieblad!$Q$4,informatieblad!$P$3,IF(MAX(D105:E105)&gt;informatieblad!$R$4,informatieblad!$P$5,informatieblad!$P$4)),"")</f>
        <v/>
      </c>
      <c r="E106" s="480"/>
      <c r="F106" s="173" t="str">
        <f>A105&amp;"-"&amp;informatieblad!$B$14&amp;"-"&amp;B105&amp;"-"&amp;C105&amp;"-"&amp;D105&amp;"-"&amp;E105&amp;"-"&amp;F105&amp;"-"&amp;G105&amp;"-"&amp;H105&amp;"-"&amp;I105&amp;"-"&amp;B106&amp;"-"&amp;D106&amp;"-"&amp;F107</f>
        <v>-RctB----0-0-0-0----Options None</v>
      </c>
      <c r="G106" s="174"/>
      <c r="H106" s="179"/>
      <c r="I106" s="175"/>
      <c r="J106" s="83"/>
      <c r="K106" s="83"/>
      <c r="L106" s="103">
        <f>A105</f>
        <v>0</v>
      </c>
      <c r="M106" s="104" t="s">
        <v>39</v>
      </c>
      <c r="N106" s="104" t="s">
        <v>39</v>
      </c>
      <c r="O106" s="104" t="s">
        <v>40</v>
      </c>
      <c r="P106" s="104" t="s">
        <v>40</v>
      </c>
      <c r="Q106" s="104" t="s">
        <v>40</v>
      </c>
      <c r="R106" s="105"/>
      <c r="S106" s="155" t="s">
        <v>27</v>
      </c>
      <c r="T106" s="155" t="s">
        <v>40</v>
      </c>
      <c r="U106" s="155" t="s">
        <v>41</v>
      </c>
      <c r="V106" s="156" t="s">
        <v>109</v>
      </c>
      <c r="W106" s="104" t="s">
        <v>110</v>
      </c>
      <c r="X106" s="107" t="s">
        <v>95</v>
      </c>
      <c r="Y106" s="107"/>
      <c r="Z106" s="107"/>
      <c r="AA106" s="104" t="s">
        <v>40</v>
      </c>
      <c r="AB106" s="104" t="s">
        <v>41</v>
      </c>
      <c r="AC106" s="108"/>
      <c r="AD106" s="109"/>
      <c r="AF106" s="262" t="str">
        <f>informatieblad!$A$2</f>
        <v>FL20 loose</v>
      </c>
      <c r="AG106" s="263"/>
      <c r="AH106" s="262" t="str">
        <f>informatieblad!$A$3</f>
        <v>FL30 loose</v>
      </c>
      <c r="AI106" s="105"/>
      <c r="AJ106" s="263" t="str">
        <f>informatieblad!$A$4</f>
        <v>FL40 loose</v>
      </c>
      <c r="AK106" s="105"/>
      <c r="AL106" s="265"/>
      <c r="AM106" s="105"/>
      <c r="AN106" s="83" t="str">
        <f>'UC mounting materials '!$B$10</f>
        <v>Rail 30x15</v>
      </c>
      <c r="AO106" s="327">
        <f>IF(Y107&lt;1000,(Y107+100),0)*C107</f>
        <v>0</v>
      </c>
      <c r="AQ106" s="265" t="s">
        <v>47</v>
      </c>
      <c r="AR106" s="106" t="s">
        <v>48</v>
      </c>
      <c r="AS106" s="83" t="s">
        <v>23</v>
      </c>
      <c r="AT106" s="83" t="s">
        <v>23</v>
      </c>
      <c r="AU106" s="83" t="s">
        <v>23</v>
      </c>
      <c r="AV106" s="273" t="s">
        <v>23</v>
      </c>
    </row>
    <row r="107" spans="1:48" ht="15.75" customHeight="1" thickBot="1">
      <c r="A107" s="447"/>
      <c r="B107" s="92" t="s">
        <v>23</v>
      </c>
      <c r="C107" s="110"/>
      <c r="D107" s="94">
        <f>C107*N107</f>
        <v>0</v>
      </c>
      <c r="E107" s="141" t="s">
        <v>24</v>
      </c>
      <c r="F107" s="451" t="s">
        <v>25</v>
      </c>
      <c r="G107" s="452"/>
      <c r="H107" s="452"/>
      <c r="I107" s="453"/>
      <c r="J107" s="176"/>
      <c r="K107" s="176"/>
      <c r="L107" s="111"/>
      <c r="M107" s="112">
        <f>(((((2*(B105+C105))*(D105+G105+F105))+((2*(D105+E105))*(B105+H105+F105)))/90)*I105)/1000000</f>
        <v>0</v>
      </c>
      <c r="N107" s="112">
        <f>((IF(M107&lt;=informatieblad!$I$14,informatieblad!$I$14,IF(M107&gt;=informatieblad!$I$14,M107))))</f>
        <v>0.5</v>
      </c>
      <c r="O107" s="158">
        <f>(ROUND((((2*(X107+C105))*(((2*PI()*(X107+F105))*(I105/360))+H105+G105))/1000000),2))</f>
        <v>0</v>
      </c>
      <c r="P107" s="158">
        <f>((IF(O107&lt;=informatieblad!$H$14,informatieblad!$H$14,IF(O107&gt;=informatieblad!$H$14,O107))))</f>
        <v>0</v>
      </c>
      <c r="Q107" s="113">
        <f>((P107*AA107)+(P107*T107))*C107</f>
        <v>0</v>
      </c>
      <c r="R107" s="114">
        <f>((N107*AB107)+(N107*U107))*C107</f>
        <v>0</v>
      </c>
      <c r="S107" s="115" t="str">
        <f>F107</f>
        <v>Options None</v>
      </c>
      <c r="T107" s="115">
        <f>VLOOKUP(F107,informatieblad!$A$37:$D$41,2,FALSE)</f>
        <v>0</v>
      </c>
      <c r="U107" s="115">
        <f>VLOOKUP(F107,informatieblad!$A$37:$D$41,4,FALSE)</f>
        <v>0</v>
      </c>
      <c r="V107" s="180">
        <f>(MAX(B105,C105))</f>
        <v>0</v>
      </c>
      <c r="W107" s="119">
        <f>(MAX(D105,E105))</f>
        <v>0</v>
      </c>
      <c r="X107" s="119">
        <f>(MAX(B105,D105))</f>
        <v>0</v>
      </c>
      <c r="Y107" s="119">
        <f>(MAX(B105:E105))</f>
        <v>0</v>
      </c>
      <c r="Z107" s="119">
        <f>LOOKUP(Y107,informatieblad!$C$27:$C$32,informatieblad!$A$27:$A$32)</f>
        <v>0.5</v>
      </c>
      <c r="AA107" s="118">
        <f>VLOOKUP(Z107,informatieblad!$A$27:$M$32,6,FALSE)</f>
        <v>0</v>
      </c>
      <c r="AB107" s="118">
        <f>VLOOKUP(Z107,informatieblad!$A$27:$M$32,8,FALSE)</f>
        <v>45.1248</v>
      </c>
      <c r="AC107" s="120">
        <f>VLOOKUP(Z107,informatieblad!$A$27:$M$32,13,FALSE)</f>
        <v>4</v>
      </c>
      <c r="AD107" s="121">
        <f>ROUND((AC107*M107),1)</f>
        <v>0</v>
      </c>
      <c r="AF107" s="281">
        <f>IF(B106=AF105,(2*B105)+(2*C105),IF(B106=AF106,(2*B105)+(2*C105),0))*C107</f>
        <v>0</v>
      </c>
      <c r="AG107" s="261">
        <f>IF(D106=AF105,(2*D105)+(2*E105),IF(D106=AF106,(2*D105)+(2*E105),0))*C107</f>
        <v>0</v>
      </c>
      <c r="AH107" s="111">
        <f>IF(B106=AH105,(2*B105)+(2*C105),IF(B106=AH106,(2*B105)+(2*C105),0))*C107</f>
        <v>0</v>
      </c>
      <c r="AI107" s="260">
        <f>IF(D106=AH105,(2*D105)+(2*E105),IF(D106=AH106,(2*D105)+(2*E105),0))*C107</f>
        <v>0</v>
      </c>
      <c r="AJ107" s="261">
        <f>IF(B106=AJ105,(2*B105)+(2*C105),IF(B106=AJ106,(2*B105)+(2*C105),0))*C107</f>
        <v>0</v>
      </c>
      <c r="AK107" s="260">
        <f>IF(D106=AJ105,(2*D105)+(2*E105),IF(D106=AJ106,(2*D105)+(2*E105),0))*C107</f>
        <v>0</v>
      </c>
      <c r="AL107" s="111">
        <f>IF(B106=AL105,(2*B105)+(2*C105),0)*C107</f>
        <v>0</v>
      </c>
      <c r="AM107" s="260">
        <f>IF(D106=AL105,(2*D105)+(2*E105),0)*C107</f>
        <v>0</v>
      </c>
      <c r="AN107" s="83" t="str">
        <f>'UC mounting materials '!$B$11</f>
        <v>Rail 41x41</v>
      </c>
      <c r="AO107" s="268">
        <f>IF(Y107&gt;999,(Y107+100),0)*C107</f>
        <v>0</v>
      </c>
      <c r="AQ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AR107" s="275" t="str">
        <f>IF(D106=informatieblad!$A$6,informatieblad!$B$6,IF(D106=informatieblad!$A$7,informatieblad!$B$7,IF(D106=informatieblad!$A$8,informatieblad!$B$8,IF(D106=informatieblad!$A$2,informatieblad!$B$2,IF(D106=informatieblad!$A$3,informatieblad!$B$3,IF(D106=informatieblad!$A$4,informatieblad!$B$4,IF(D106=informatieblad!$A$5,informatieblad!$B$5,"")))))))</f>
        <v/>
      </c>
      <c r="AS107" s="276">
        <f>IF(AQ107=AS105,(4*C107),0)</f>
        <v>0</v>
      </c>
      <c r="AT107" s="276">
        <f>IF(AR107=AS105,(4*C107),0)</f>
        <v>0</v>
      </c>
      <c r="AU107" s="276">
        <f>IF(AQ107=AU105,(4*C107),0)</f>
        <v>0</v>
      </c>
      <c r="AV107" s="274">
        <f>IF(AR107=AU105,(4*C107),0)</f>
        <v>0</v>
      </c>
    </row>
    <row r="108" spans="1:48" ht="5.0999999999999996" customHeight="1" thickBot="1">
      <c r="A108" s="145"/>
      <c r="B108" s="122"/>
      <c r="C108" s="122"/>
      <c r="D108" s="122"/>
      <c r="E108" s="122"/>
      <c r="F108" s="122"/>
      <c r="G108" s="122"/>
      <c r="H108" s="122"/>
      <c r="I108" s="146"/>
    </row>
    <row r="109" spans="1:48" ht="15.75" customHeight="1" thickBot="1">
      <c r="A109" s="445"/>
      <c r="B109" s="96"/>
      <c r="C109" s="96"/>
      <c r="D109" s="96"/>
      <c r="E109" s="167">
        <f>C109</f>
        <v>0</v>
      </c>
      <c r="F109" s="177">
        <f>(B109&gt;0)*$I$10</f>
        <v>0</v>
      </c>
      <c r="G109" s="177">
        <f>(B109&gt;0)*$I$11</f>
        <v>0</v>
      </c>
      <c r="H109" s="177">
        <f>(B109&gt;0)*$I$12</f>
        <v>0</v>
      </c>
      <c r="I109" s="178"/>
      <c r="J109" s="345" t="s">
        <v>20</v>
      </c>
      <c r="K109" s="83"/>
      <c r="L109" s="97" t="s">
        <v>14</v>
      </c>
      <c r="M109" s="98" t="s">
        <v>27</v>
      </c>
      <c r="N109" s="98" t="s">
        <v>28</v>
      </c>
      <c r="O109" s="98"/>
      <c r="P109" s="98" t="s">
        <v>28</v>
      </c>
      <c r="Q109" s="98" t="s">
        <v>29</v>
      </c>
      <c r="R109" s="66" t="s">
        <v>30</v>
      </c>
      <c r="S109" s="153" t="s">
        <v>31</v>
      </c>
      <c r="T109" s="153"/>
      <c r="U109" s="153"/>
      <c r="V109" s="154" t="s">
        <v>83</v>
      </c>
      <c r="W109" s="100" t="s">
        <v>83</v>
      </c>
      <c r="X109" s="100" t="s">
        <v>83</v>
      </c>
      <c r="Y109" s="100" t="s">
        <v>33</v>
      </c>
      <c r="Z109" s="100" t="s">
        <v>34</v>
      </c>
      <c r="AA109" s="98" t="s">
        <v>32</v>
      </c>
      <c r="AB109" s="98" t="s">
        <v>32</v>
      </c>
      <c r="AC109" s="98" t="s">
        <v>50</v>
      </c>
      <c r="AD109" s="101" t="s">
        <v>36</v>
      </c>
      <c r="AF109" s="97" t="str">
        <f>informatieblad!$A$6</f>
        <v>FL20</v>
      </c>
      <c r="AG109" s="99"/>
      <c r="AH109" s="97" t="str">
        <f>informatieblad!$A$7</f>
        <v>FL30</v>
      </c>
      <c r="AI109" s="66"/>
      <c r="AJ109" s="99" t="str">
        <f>informatieblad!$A$8</f>
        <v>FL40</v>
      </c>
      <c r="AK109" s="66"/>
      <c r="AL109" s="97" t="str">
        <f>informatieblad!$A$5</f>
        <v>none</v>
      </c>
      <c r="AM109" s="264"/>
      <c r="AO109" s="266" t="s">
        <v>37</v>
      </c>
      <c r="AQ109" s="269" t="s">
        <v>38</v>
      </c>
      <c r="AR109" s="272"/>
      <c r="AS109" s="272">
        <f>informatieblad!$B$3</f>
        <v>0</v>
      </c>
      <c r="AT109" s="272">
        <f>informatieblad!$B$3</f>
        <v>0</v>
      </c>
      <c r="AU109" s="272">
        <f>informatieblad!$B$4</f>
        <v>0</v>
      </c>
      <c r="AV109" s="264">
        <f>informatieblad!$B$4</f>
        <v>0</v>
      </c>
    </row>
    <row r="110" spans="1:48" ht="15.75" customHeight="1">
      <c r="A110" s="475"/>
      <c r="B110" s="479" t="str">
        <f>IF($C111&gt;0,IF(MAX(B109:C109)&lt;informatieblad!$Q$4,informatieblad!$P$3,IF(MAX(B109:C109)&gt;informatieblad!$R$4,informatieblad!$P$5,informatieblad!$P$4)),"")</f>
        <v/>
      </c>
      <c r="C110" s="480"/>
      <c r="D110" s="479" t="str">
        <f>IF($C111&gt;0,IF(MAX(D109:E109)&lt;informatieblad!$Q$4,informatieblad!$P$3,IF(MAX(D109:E109)&gt;informatieblad!$R$4,informatieblad!$P$5,informatieblad!$P$4)),"")</f>
        <v/>
      </c>
      <c r="E110" s="480"/>
      <c r="F110" s="173" t="str">
        <f>A109&amp;"-"&amp;informatieblad!$B$14&amp;"-"&amp;B109&amp;"-"&amp;C109&amp;"-"&amp;D109&amp;"-"&amp;E109&amp;"-"&amp;F109&amp;"-"&amp;G109&amp;"-"&amp;H109&amp;"-"&amp;I109&amp;"-"&amp;B110&amp;"-"&amp;D110&amp;"-"&amp;F111</f>
        <v>-RctB----0-0-0-0----Options None</v>
      </c>
      <c r="G110" s="174"/>
      <c r="H110" s="179"/>
      <c r="I110" s="175"/>
      <c r="J110" s="83"/>
      <c r="K110" s="83"/>
      <c r="L110" s="103">
        <f>A109</f>
        <v>0</v>
      </c>
      <c r="M110" s="104" t="s">
        <v>39</v>
      </c>
      <c r="N110" s="104" t="s">
        <v>39</v>
      </c>
      <c r="O110" s="104" t="s">
        <v>40</v>
      </c>
      <c r="P110" s="104" t="s">
        <v>40</v>
      </c>
      <c r="Q110" s="104" t="s">
        <v>40</v>
      </c>
      <c r="R110" s="105"/>
      <c r="S110" s="155" t="s">
        <v>27</v>
      </c>
      <c r="T110" s="155" t="s">
        <v>40</v>
      </c>
      <c r="U110" s="155" t="s">
        <v>41</v>
      </c>
      <c r="V110" s="156" t="s">
        <v>109</v>
      </c>
      <c r="W110" s="104" t="s">
        <v>110</v>
      </c>
      <c r="X110" s="107" t="s">
        <v>95</v>
      </c>
      <c r="Y110" s="107"/>
      <c r="Z110" s="107"/>
      <c r="AA110" s="104" t="s">
        <v>40</v>
      </c>
      <c r="AB110" s="104" t="s">
        <v>41</v>
      </c>
      <c r="AC110" s="108"/>
      <c r="AD110" s="109"/>
      <c r="AF110" s="262" t="str">
        <f>informatieblad!$A$2</f>
        <v>FL20 loose</v>
      </c>
      <c r="AG110" s="263"/>
      <c r="AH110" s="262" t="str">
        <f>informatieblad!$A$3</f>
        <v>FL30 loose</v>
      </c>
      <c r="AI110" s="105"/>
      <c r="AJ110" s="263" t="str">
        <f>informatieblad!$A$4</f>
        <v>FL40 loose</v>
      </c>
      <c r="AK110" s="105"/>
      <c r="AL110" s="265"/>
      <c r="AM110" s="105"/>
      <c r="AN110" s="83" t="str">
        <f>'UC mounting materials '!$B$10</f>
        <v>Rail 30x15</v>
      </c>
      <c r="AO110" s="327">
        <f>IF(Y111&lt;1000,(Y111+100),0)*C111</f>
        <v>0</v>
      </c>
      <c r="AQ110" s="265" t="s">
        <v>47</v>
      </c>
      <c r="AR110" s="106" t="s">
        <v>48</v>
      </c>
      <c r="AS110" s="83" t="s">
        <v>23</v>
      </c>
      <c r="AT110" s="83" t="s">
        <v>23</v>
      </c>
      <c r="AU110" s="83" t="s">
        <v>23</v>
      </c>
      <c r="AV110" s="273" t="s">
        <v>23</v>
      </c>
    </row>
    <row r="111" spans="1:48" ht="15.75" customHeight="1" thickBot="1">
      <c r="A111" s="447"/>
      <c r="B111" s="92" t="s">
        <v>23</v>
      </c>
      <c r="C111" s="110"/>
      <c r="D111" s="94">
        <f>C111*N111</f>
        <v>0</v>
      </c>
      <c r="E111" s="141" t="s">
        <v>24</v>
      </c>
      <c r="F111" s="451" t="s">
        <v>25</v>
      </c>
      <c r="G111" s="452"/>
      <c r="H111" s="452"/>
      <c r="I111" s="453"/>
      <c r="J111" s="176"/>
      <c r="K111" s="176"/>
      <c r="L111" s="111"/>
      <c r="M111" s="112">
        <f>(((((2*(B109+C109))*(D109+G109+F109))+((2*(D109+E109))*(B109+H109+F109)))/90)*I109)/1000000</f>
        <v>0</v>
      </c>
      <c r="N111" s="112">
        <f>((IF(M111&lt;=informatieblad!$I$14,informatieblad!$I$14,IF(M111&gt;=informatieblad!$I$14,M111))))</f>
        <v>0.5</v>
      </c>
      <c r="O111" s="158">
        <f>(ROUND((((2*(X111+C109))*(((2*PI()*(X111+F109))*(I109/360))+H109+G109))/1000000),2))</f>
        <v>0</v>
      </c>
      <c r="P111" s="158">
        <f>((IF(O111&lt;=informatieblad!$H$14,informatieblad!$H$14,IF(O111&gt;=informatieblad!$H$14,O111))))</f>
        <v>0</v>
      </c>
      <c r="Q111" s="113">
        <f>((P111*AA111)+(P111*T111))*C111</f>
        <v>0</v>
      </c>
      <c r="R111" s="114">
        <f>((N111*AB111)+(N111*U111))*C111</f>
        <v>0</v>
      </c>
      <c r="S111" s="115" t="str">
        <f>F111</f>
        <v>Options None</v>
      </c>
      <c r="T111" s="115">
        <f>VLOOKUP(F111,informatieblad!$A$37:$D$41,2,FALSE)</f>
        <v>0</v>
      </c>
      <c r="U111" s="115">
        <f>VLOOKUP(F111,informatieblad!$A$37:$D$41,4,FALSE)</f>
        <v>0</v>
      </c>
      <c r="V111" s="180">
        <f>(MAX(B109,C109))</f>
        <v>0</v>
      </c>
      <c r="W111" s="119">
        <f>(MAX(D109,E109))</f>
        <v>0</v>
      </c>
      <c r="X111" s="119">
        <f>(MAX(B109,D109))</f>
        <v>0</v>
      </c>
      <c r="Y111" s="119">
        <f>(MAX(B109:E109))</f>
        <v>0</v>
      </c>
      <c r="Z111" s="119">
        <f>LOOKUP(Y111,informatieblad!$C$27:$C$32,informatieblad!$A$27:$A$32)</f>
        <v>0.5</v>
      </c>
      <c r="AA111" s="118">
        <f>VLOOKUP(Z111,informatieblad!$A$27:$M$32,6,FALSE)</f>
        <v>0</v>
      </c>
      <c r="AB111" s="118">
        <f>VLOOKUP(Z111,informatieblad!$A$27:$M$32,8,FALSE)</f>
        <v>45.1248</v>
      </c>
      <c r="AC111" s="120">
        <f>VLOOKUP(Z111,informatieblad!$A$27:$M$32,13,FALSE)</f>
        <v>4</v>
      </c>
      <c r="AD111" s="121">
        <f>ROUND((AC111*M111),1)</f>
        <v>0</v>
      </c>
      <c r="AF111" s="281">
        <f>IF(B110=AF109,(2*B109)+(2*C109),IF(B110=AF110,(2*B109)+(2*C109),0))*C111</f>
        <v>0</v>
      </c>
      <c r="AG111" s="261">
        <f>IF(D110=AF109,(2*D109)+(2*E109),IF(D110=AF110,(2*D109)+(2*E109),0))*C111</f>
        <v>0</v>
      </c>
      <c r="AH111" s="111">
        <f>IF(B110=AH109,(2*B109)+(2*C109),IF(B110=AH110,(2*B109)+(2*C109),0))*C111</f>
        <v>0</v>
      </c>
      <c r="AI111" s="260">
        <f>IF(D110=AH109,(2*D109)+(2*E109),IF(D110=AH110,(2*D109)+(2*E109),0))*C111</f>
        <v>0</v>
      </c>
      <c r="AJ111" s="261">
        <f>IF(B110=AJ109,(2*B109)+(2*C109),IF(B110=AJ110,(2*B109)+(2*C109),0))*C111</f>
        <v>0</v>
      </c>
      <c r="AK111" s="260">
        <f>IF(D110=AJ109,(2*D109)+(2*E109),IF(D110=AJ110,(2*D109)+(2*E109),0))*C111</f>
        <v>0</v>
      </c>
      <c r="AL111" s="111">
        <f>IF(B110=AL109,(2*B109)+(2*C109),0)*C111</f>
        <v>0</v>
      </c>
      <c r="AM111" s="260">
        <f>IF(D110=AL109,(2*D109)+(2*E109),0)*C111</f>
        <v>0</v>
      </c>
      <c r="AN111" s="83" t="str">
        <f>'UC mounting materials '!$B$11</f>
        <v>Rail 41x41</v>
      </c>
      <c r="AO111" s="268">
        <f>IF(Y111&gt;999,(Y111+100),0)*C111</f>
        <v>0</v>
      </c>
      <c r="AQ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AR111" s="275" t="str">
        <f>IF(D110=informatieblad!$A$6,informatieblad!$B$6,IF(D110=informatieblad!$A$7,informatieblad!$B$7,IF(D110=informatieblad!$A$8,informatieblad!$B$8,IF(D110=informatieblad!$A$2,informatieblad!$B$2,IF(D110=informatieblad!$A$3,informatieblad!$B$3,IF(D110=informatieblad!$A$4,informatieblad!$B$4,IF(D110=informatieblad!$A$5,informatieblad!$B$5,"")))))))</f>
        <v/>
      </c>
      <c r="AS111" s="276">
        <f>IF(AQ111=AS109,(4*C111),0)</f>
        <v>0</v>
      </c>
      <c r="AT111" s="276">
        <f>IF(AR111=AS109,(4*C111),0)</f>
        <v>0</v>
      </c>
      <c r="AU111" s="276">
        <f>IF(AQ111=AU109,(4*C111),0)</f>
        <v>0</v>
      </c>
      <c r="AV111" s="274">
        <f>IF(AR111=AU109,(4*C111),0)</f>
        <v>0</v>
      </c>
    </row>
    <row r="112" spans="1:48" ht="5.0999999999999996" customHeight="1" thickBot="1">
      <c r="A112" s="145"/>
      <c r="B112" s="122"/>
      <c r="C112" s="122"/>
      <c r="D112" s="122"/>
      <c r="E112" s="122"/>
      <c r="F112" s="122"/>
      <c r="G112" s="122"/>
      <c r="H112" s="122"/>
      <c r="I112" s="146"/>
    </row>
    <row r="113" spans="1:48" ht="15.75" customHeight="1" thickBot="1">
      <c r="A113" s="445"/>
      <c r="B113" s="96"/>
      <c r="C113" s="96"/>
      <c r="D113" s="96"/>
      <c r="E113" s="167">
        <f>C113</f>
        <v>0</v>
      </c>
      <c r="F113" s="177">
        <f>(B113&gt;0)*$I$10</f>
        <v>0</v>
      </c>
      <c r="G113" s="177">
        <f>(B113&gt;0)*$I$11</f>
        <v>0</v>
      </c>
      <c r="H113" s="177">
        <f>(B113&gt;0)*$I$12</f>
        <v>0</v>
      </c>
      <c r="I113" s="178"/>
      <c r="J113" s="345" t="s">
        <v>20</v>
      </c>
      <c r="K113" s="83"/>
      <c r="L113" s="97" t="s">
        <v>14</v>
      </c>
      <c r="M113" s="98" t="s">
        <v>27</v>
      </c>
      <c r="N113" s="98" t="s">
        <v>28</v>
      </c>
      <c r="O113" s="98" t="s">
        <v>27</v>
      </c>
      <c r="P113" s="98" t="s">
        <v>28</v>
      </c>
      <c r="Q113" s="98" t="s">
        <v>29</v>
      </c>
      <c r="R113" s="66" t="s">
        <v>30</v>
      </c>
      <c r="S113" s="153" t="s">
        <v>31</v>
      </c>
      <c r="T113" s="153"/>
      <c r="U113" s="153"/>
      <c r="V113" s="154" t="s">
        <v>83</v>
      </c>
      <c r="W113" s="100" t="s">
        <v>83</v>
      </c>
      <c r="X113" s="100" t="s">
        <v>83</v>
      </c>
      <c r="Y113" s="100" t="s">
        <v>33</v>
      </c>
      <c r="Z113" s="100" t="s">
        <v>34</v>
      </c>
      <c r="AA113" s="98" t="s">
        <v>32</v>
      </c>
      <c r="AB113" s="98" t="s">
        <v>32</v>
      </c>
      <c r="AC113" s="98" t="s">
        <v>50</v>
      </c>
      <c r="AD113" s="101" t="s">
        <v>36</v>
      </c>
      <c r="AF113" s="97" t="str">
        <f>informatieblad!$A$6</f>
        <v>FL20</v>
      </c>
      <c r="AG113" s="99"/>
      <c r="AH113" s="97" t="str">
        <f>informatieblad!$A$7</f>
        <v>FL30</v>
      </c>
      <c r="AI113" s="66"/>
      <c r="AJ113" s="99" t="str">
        <f>informatieblad!$A$8</f>
        <v>FL40</v>
      </c>
      <c r="AK113" s="66"/>
      <c r="AL113" s="97" t="str">
        <f>informatieblad!$A$5</f>
        <v>none</v>
      </c>
      <c r="AM113" s="264"/>
      <c r="AO113" s="266" t="s">
        <v>37</v>
      </c>
      <c r="AQ113" s="269" t="s">
        <v>38</v>
      </c>
      <c r="AR113" s="272"/>
      <c r="AS113" s="272">
        <f>informatieblad!$B$3</f>
        <v>0</v>
      </c>
      <c r="AT113" s="272">
        <f>informatieblad!$B$3</f>
        <v>0</v>
      </c>
      <c r="AU113" s="272">
        <f>informatieblad!$B$4</f>
        <v>0</v>
      </c>
      <c r="AV113" s="264">
        <f>informatieblad!$B$4</f>
        <v>0</v>
      </c>
    </row>
    <row r="114" spans="1:48" ht="15.75" customHeight="1">
      <c r="A114" s="467"/>
      <c r="B114" s="479" t="str">
        <f>IF($C115&gt;0,IF(MAX(B113:C113)&lt;informatieblad!$Q$4,informatieblad!$P$3,IF(MAX(B113:C113)&gt;informatieblad!$R$4,informatieblad!$P$5,informatieblad!$P$4)),"")</f>
        <v/>
      </c>
      <c r="C114" s="480"/>
      <c r="D114" s="479" t="str">
        <f>IF($C115&gt;0,IF(MAX(D113:E113)&lt;informatieblad!$Q$4,informatieblad!$P$3,IF(MAX(D113:E113)&gt;informatieblad!$R$4,informatieblad!$P$5,informatieblad!$P$4)),"")</f>
        <v/>
      </c>
      <c r="E114" s="480"/>
      <c r="F114" s="173" t="str">
        <f>A113&amp;"-"&amp;informatieblad!$B$14&amp;"-"&amp;B113&amp;"-"&amp;C113&amp;"-"&amp;D113&amp;"-"&amp;E113&amp;"-"&amp;F113&amp;"-"&amp;G113&amp;"-"&amp;H113&amp;"-"&amp;I113&amp;"-"&amp;B114&amp;"-"&amp;D114&amp;"-"&amp;F115</f>
        <v>-RctB----0-0-0-0----Options None</v>
      </c>
      <c r="G114" s="174"/>
      <c r="H114" s="179"/>
      <c r="I114" s="175"/>
      <c r="J114" s="83"/>
      <c r="K114" s="83"/>
      <c r="L114" s="103">
        <f>A113</f>
        <v>0</v>
      </c>
      <c r="M114" s="104" t="s">
        <v>39</v>
      </c>
      <c r="N114" s="104" t="s">
        <v>39</v>
      </c>
      <c r="O114" s="104" t="s">
        <v>40</v>
      </c>
      <c r="P114" s="104" t="s">
        <v>40</v>
      </c>
      <c r="Q114" s="104" t="s">
        <v>40</v>
      </c>
      <c r="R114" s="105"/>
      <c r="S114" s="155" t="s">
        <v>27</v>
      </c>
      <c r="T114" s="155" t="s">
        <v>40</v>
      </c>
      <c r="U114" s="155" t="s">
        <v>41</v>
      </c>
      <c r="V114" s="156" t="s">
        <v>109</v>
      </c>
      <c r="W114" s="104" t="s">
        <v>110</v>
      </c>
      <c r="X114" s="107" t="s">
        <v>95</v>
      </c>
      <c r="Y114" s="107"/>
      <c r="Z114" s="107"/>
      <c r="AA114" s="104" t="s">
        <v>40</v>
      </c>
      <c r="AB114" s="104" t="s">
        <v>41</v>
      </c>
      <c r="AC114" s="108"/>
      <c r="AD114" s="109"/>
      <c r="AF114" s="262" t="str">
        <f>informatieblad!$A$2</f>
        <v>FL20 loose</v>
      </c>
      <c r="AG114" s="263"/>
      <c r="AH114" s="262" t="str">
        <f>informatieblad!$A$3</f>
        <v>FL30 loose</v>
      </c>
      <c r="AI114" s="105"/>
      <c r="AJ114" s="263" t="str">
        <f>informatieblad!$A$4</f>
        <v>FL40 loose</v>
      </c>
      <c r="AK114" s="105"/>
      <c r="AL114" s="265"/>
      <c r="AM114" s="105"/>
      <c r="AN114" s="83" t="str">
        <f>'UC mounting materials '!$B$10</f>
        <v>Rail 30x15</v>
      </c>
      <c r="AO114" s="327">
        <f>IF(Y115&lt;1000,(Y115+100),0)*C115</f>
        <v>0</v>
      </c>
      <c r="AQ114" s="265" t="s">
        <v>47</v>
      </c>
      <c r="AR114" s="106" t="s">
        <v>48</v>
      </c>
      <c r="AS114" s="83" t="s">
        <v>23</v>
      </c>
      <c r="AT114" s="83" t="s">
        <v>23</v>
      </c>
      <c r="AU114" s="83" t="s">
        <v>23</v>
      </c>
      <c r="AV114" s="273" t="s">
        <v>23</v>
      </c>
    </row>
    <row r="115" spans="1:48" ht="15.75" customHeight="1" thickBot="1">
      <c r="A115" s="468"/>
      <c r="B115" s="92" t="s">
        <v>23</v>
      </c>
      <c r="C115" s="110"/>
      <c r="D115" s="94">
        <f>C115*N115</f>
        <v>0</v>
      </c>
      <c r="E115" s="141" t="s">
        <v>24</v>
      </c>
      <c r="F115" s="451" t="s">
        <v>25</v>
      </c>
      <c r="G115" s="452"/>
      <c r="H115" s="452"/>
      <c r="I115" s="453"/>
      <c r="J115" s="176"/>
      <c r="K115" s="176"/>
      <c r="L115" s="111"/>
      <c r="M115" s="112">
        <f>(((((2*(B113+C113))*(D113+G113+F113))+((2*(D113+E113))*(B113+H113+F113)))/90)*I113)/1000000</f>
        <v>0</v>
      </c>
      <c r="N115" s="112">
        <f>((IF(M115&lt;=informatieblad!$I$14,informatieblad!$I$14,IF(M115&gt;=informatieblad!$I$14,M115))))</f>
        <v>0.5</v>
      </c>
      <c r="O115" s="158">
        <f>(ROUND((((2*(X115+C113))*(((2*PI()*(X115+F113))*(I113/360))+H113+G113))/1000000),2))</f>
        <v>0</v>
      </c>
      <c r="P115" s="158">
        <f>((IF(O115&lt;=informatieblad!$H$14,informatieblad!$H$14,IF(O115&gt;=informatieblad!$H$14,O115))))</f>
        <v>0</v>
      </c>
      <c r="Q115" s="113">
        <f>((P115*AA115)+(P115*T115))*C115</f>
        <v>0</v>
      </c>
      <c r="R115" s="114">
        <f>((N115*AB115)+(N115*U115))*C115</f>
        <v>0</v>
      </c>
      <c r="S115" s="115" t="str">
        <f>F115</f>
        <v>Options None</v>
      </c>
      <c r="T115" s="115">
        <f>VLOOKUP(F115,informatieblad!$A$37:$D$41,2,FALSE)</f>
        <v>0</v>
      </c>
      <c r="U115" s="115">
        <f>VLOOKUP(F115,informatieblad!$A$37:$D$41,4,FALSE)</f>
        <v>0</v>
      </c>
      <c r="V115" s="180">
        <f>(MAX(B113,C113))</f>
        <v>0</v>
      </c>
      <c r="W115" s="119">
        <f>(MAX(D113,E113))</f>
        <v>0</v>
      </c>
      <c r="X115" s="119">
        <f>(MAX(B113,D113))</f>
        <v>0</v>
      </c>
      <c r="Y115" s="119">
        <f>(MAX(B113:E113))</f>
        <v>0</v>
      </c>
      <c r="Z115" s="119">
        <f>LOOKUP(Y115,informatieblad!$C$27:$C$32,informatieblad!$A$27:$A$32)</f>
        <v>0.5</v>
      </c>
      <c r="AA115" s="118">
        <f>VLOOKUP(Z115,informatieblad!$A$27:$M$32,6,FALSE)</f>
        <v>0</v>
      </c>
      <c r="AB115" s="118">
        <f>VLOOKUP(Z115,informatieblad!$A$27:$M$32,8,FALSE)</f>
        <v>45.1248</v>
      </c>
      <c r="AC115" s="120">
        <f>VLOOKUP(Z115,informatieblad!$A$27:$M$32,13,FALSE)</f>
        <v>4</v>
      </c>
      <c r="AD115" s="121">
        <f>ROUND((AC115*M115),1)</f>
        <v>0</v>
      </c>
      <c r="AF115" s="281">
        <f>IF(B114=AF113,(2*B113)+(2*C113),IF(B114=AF114,(2*B113)+(2*C113),0))*C115</f>
        <v>0</v>
      </c>
      <c r="AG115" s="261">
        <f>IF(D114=AF113,(2*D113)+(2*E113),IF(D114=AF114,(2*D113)+(2*E113),0))*C115</f>
        <v>0</v>
      </c>
      <c r="AH115" s="111">
        <f>IF(B114=AH113,(2*B113)+(2*C113),IF(B114=AH114,(2*B113)+(2*C113),0))*C115</f>
        <v>0</v>
      </c>
      <c r="AI115" s="260">
        <f>IF(D114=AH113,(2*D113)+(2*E113),IF(D114=AH114,(2*D113)+(2*E113),0))*C115</f>
        <v>0</v>
      </c>
      <c r="AJ115" s="261">
        <f>IF(B114=AJ113,(2*B113)+(2*C113),IF(B114=AJ114,(2*B113)+(2*C113),0))*C115</f>
        <v>0</v>
      </c>
      <c r="AK115" s="260">
        <f>IF(D114=AJ113,(2*D113)+(2*E113),IF(D114=AJ114,(2*D113)+(2*E113),0))*C115</f>
        <v>0</v>
      </c>
      <c r="AL115" s="111">
        <f>IF(B114=AL113,(2*B113)+(2*C113),0)*C115</f>
        <v>0</v>
      </c>
      <c r="AM115" s="260">
        <f>IF(D114=AL113,(2*D113)+(2*E113),0)*C115</f>
        <v>0</v>
      </c>
      <c r="AN115" s="83" t="str">
        <f>'UC mounting materials '!$B$11</f>
        <v>Rail 41x41</v>
      </c>
      <c r="AO115" s="268">
        <f>IF(Y115&gt;999,(Y115+100),0)*C115</f>
        <v>0</v>
      </c>
      <c r="AQ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AR115" s="275" t="str">
        <f>IF(D114=informatieblad!$A$6,informatieblad!$B$6,IF(D114=informatieblad!$A$7,informatieblad!$B$7,IF(D114=informatieblad!$A$8,informatieblad!$B$8,IF(D114=informatieblad!$A$2,informatieblad!$B$2,IF(D114=informatieblad!$A$3,informatieblad!$B$3,IF(D114=informatieblad!$A$4,informatieblad!$B$4,IF(D114=informatieblad!$A$5,informatieblad!$B$5,"")))))))</f>
        <v/>
      </c>
      <c r="AS115" s="276">
        <f>IF(AQ115=AS113,(4*C115),0)</f>
        <v>0</v>
      </c>
      <c r="AT115" s="276">
        <f>IF(AR115=AS113,(4*C115),0)</f>
        <v>0</v>
      </c>
      <c r="AU115" s="276">
        <f>IF(AQ115=AU113,(4*C115),0)</f>
        <v>0</v>
      </c>
      <c r="AV115" s="274">
        <f>IF(AR115=AU113,(4*C115),0)</f>
        <v>0</v>
      </c>
    </row>
    <row r="116" spans="1:48" ht="5.0999999999999996" customHeight="1" thickBot="1">
      <c r="A116" s="145"/>
      <c r="B116" s="122"/>
      <c r="C116" s="122"/>
      <c r="D116" s="122"/>
      <c r="E116" s="122"/>
      <c r="F116" s="122"/>
      <c r="G116" s="122"/>
      <c r="H116" s="122"/>
      <c r="I116" s="146"/>
    </row>
    <row r="117" spans="1:48" ht="15.75" customHeight="1" thickBot="1">
      <c r="A117" s="445"/>
      <c r="B117" s="96"/>
      <c r="C117" s="96"/>
      <c r="D117" s="96"/>
      <c r="E117" s="167">
        <f>C117</f>
        <v>0</v>
      </c>
      <c r="F117" s="177">
        <f>(B117&gt;0)*$I$10</f>
        <v>0</v>
      </c>
      <c r="G117" s="177">
        <f>(B117&gt;0)*$I$11</f>
        <v>0</v>
      </c>
      <c r="H117" s="177">
        <f>(B117&gt;0)*$I$12</f>
        <v>0</v>
      </c>
      <c r="I117" s="178"/>
      <c r="J117" s="345" t="s">
        <v>20</v>
      </c>
      <c r="K117" s="83"/>
      <c r="L117" s="97" t="s">
        <v>14</v>
      </c>
      <c r="M117" s="98" t="s">
        <v>27</v>
      </c>
      <c r="N117" s="98" t="s">
        <v>28</v>
      </c>
      <c r="O117" s="98" t="s">
        <v>27</v>
      </c>
      <c r="P117" s="98" t="s">
        <v>28</v>
      </c>
      <c r="Q117" s="98" t="s">
        <v>29</v>
      </c>
      <c r="R117" s="66" t="s">
        <v>30</v>
      </c>
      <c r="S117" s="153" t="s">
        <v>31</v>
      </c>
      <c r="T117" s="153"/>
      <c r="U117" s="153"/>
      <c r="V117" s="154" t="s">
        <v>83</v>
      </c>
      <c r="W117" s="100" t="s">
        <v>83</v>
      </c>
      <c r="X117" s="100" t="s">
        <v>83</v>
      </c>
      <c r="Y117" s="100" t="s">
        <v>33</v>
      </c>
      <c r="Z117" s="100" t="s">
        <v>34</v>
      </c>
      <c r="AA117" s="98" t="s">
        <v>32</v>
      </c>
      <c r="AB117" s="98" t="s">
        <v>32</v>
      </c>
      <c r="AC117" s="98" t="s">
        <v>50</v>
      </c>
      <c r="AD117" s="101" t="s">
        <v>36</v>
      </c>
      <c r="AF117" s="97" t="str">
        <f>informatieblad!$A$6</f>
        <v>FL20</v>
      </c>
      <c r="AG117" s="99"/>
      <c r="AH117" s="97" t="str">
        <f>informatieblad!$A$7</f>
        <v>FL30</v>
      </c>
      <c r="AI117" s="66"/>
      <c r="AJ117" s="99" t="str">
        <f>informatieblad!$A$8</f>
        <v>FL40</v>
      </c>
      <c r="AK117" s="66"/>
      <c r="AL117" s="97" t="str">
        <f>informatieblad!$A$5</f>
        <v>none</v>
      </c>
      <c r="AM117" s="264"/>
      <c r="AO117" s="266" t="s">
        <v>37</v>
      </c>
      <c r="AQ117" s="269" t="s">
        <v>38</v>
      </c>
      <c r="AR117" s="272"/>
      <c r="AS117" s="272">
        <f>informatieblad!$B$3</f>
        <v>0</v>
      </c>
      <c r="AT117" s="272">
        <f>informatieblad!$B$3</f>
        <v>0</v>
      </c>
      <c r="AU117" s="272">
        <f>informatieblad!$B$4</f>
        <v>0</v>
      </c>
      <c r="AV117" s="264">
        <f>informatieblad!$B$4</f>
        <v>0</v>
      </c>
    </row>
    <row r="118" spans="1:48" ht="15.75" customHeight="1">
      <c r="A118" s="467"/>
      <c r="B118" s="479" t="str">
        <f>IF($C119&gt;0,IF(MAX(B117:C117)&lt;informatieblad!$Q$4,informatieblad!$P$3,IF(MAX(B117:C117)&gt;informatieblad!$R$4,informatieblad!$P$5,informatieblad!$P$4)),"")</f>
        <v/>
      </c>
      <c r="C118" s="480"/>
      <c r="D118" s="479" t="str">
        <f>IF($C119&gt;0,IF(MAX(D117:E117)&lt;informatieblad!$Q$4,informatieblad!$P$3,IF(MAX(D117:E117)&gt;informatieblad!$R$4,informatieblad!$P$5,informatieblad!$P$4)),"")</f>
        <v/>
      </c>
      <c r="E118" s="480"/>
      <c r="F118" s="173" t="str">
        <f>A117&amp;"-"&amp;informatieblad!$B$14&amp;"-"&amp;B117&amp;"-"&amp;C117&amp;"-"&amp;D117&amp;"-"&amp;E117&amp;"-"&amp;F117&amp;"-"&amp;G117&amp;"-"&amp;H117&amp;"-"&amp;I117&amp;"-"&amp;B118&amp;"-"&amp;D118&amp;"-"&amp;F119</f>
        <v>-RctB----0-0-0-0----Options None</v>
      </c>
      <c r="G118" s="174"/>
      <c r="H118" s="179"/>
      <c r="I118" s="175"/>
      <c r="J118" s="83"/>
      <c r="K118" s="83"/>
      <c r="L118" s="103">
        <f>A117</f>
        <v>0</v>
      </c>
      <c r="M118" s="104" t="s">
        <v>39</v>
      </c>
      <c r="N118" s="104" t="s">
        <v>39</v>
      </c>
      <c r="O118" s="104" t="s">
        <v>40</v>
      </c>
      <c r="P118" s="104" t="s">
        <v>40</v>
      </c>
      <c r="Q118" s="104" t="s">
        <v>40</v>
      </c>
      <c r="R118" s="105"/>
      <c r="S118" s="155" t="s">
        <v>27</v>
      </c>
      <c r="T118" s="155" t="s">
        <v>40</v>
      </c>
      <c r="U118" s="155" t="s">
        <v>41</v>
      </c>
      <c r="V118" s="156" t="s">
        <v>109</v>
      </c>
      <c r="W118" s="104" t="s">
        <v>110</v>
      </c>
      <c r="X118" s="107" t="s">
        <v>95</v>
      </c>
      <c r="Y118" s="107"/>
      <c r="Z118" s="107"/>
      <c r="AA118" s="104" t="s">
        <v>40</v>
      </c>
      <c r="AB118" s="104" t="s">
        <v>41</v>
      </c>
      <c r="AC118" s="108"/>
      <c r="AD118" s="109"/>
      <c r="AF118" s="262" t="str">
        <f>informatieblad!$A$2</f>
        <v>FL20 loose</v>
      </c>
      <c r="AG118" s="263"/>
      <c r="AH118" s="262" t="str">
        <f>informatieblad!$A$3</f>
        <v>FL30 loose</v>
      </c>
      <c r="AI118" s="105"/>
      <c r="AJ118" s="263" t="str">
        <f>informatieblad!$A$4</f>
        <v>FL40 loose</v>
      </c>
      <c r="AK118" s="105"/>
      <c r="AL118" s="265"/>
      <c r="AM118" s="105"/>
      <c r="AN118" s="83" t="str">
        <f>'UC mounting materials '!$B$10</f>
        <v>Rail 30x15</v>
      </c>
      <c r="AO118" s="327">
        <f>IF(Y119&lt;1000,(Y119+100),0)*C119</f>
        <v>0</v>
      </c>
      <c r="AQ118" s="265" t="s">
        <v>47</v>
      </c>
      <c r="AR118" s="106" t="s">
        <v>48</v>
      </c>
      <c r="AS118" s="83" t="s">
        <v>23</v>
      </c>
      <c r="AT118" s="83" t="s">
        <v>23</v>
      </c>
      <c r="AU118" s="83" t="s">
        <v>23</v>
      </c>
      <c r="AV118" s="273" t="s">
        <v>23</v>
      </c>
    </row>
    <row r="119" spans="1:48" ht="15.75" customHeight="1" thickBot="1">
      <c r="A119" s="468"/>
      <c r="B119" s="92" t="s">
        <v>23</v>
      </c>
      <c r="C119" s="110"/>
      <c r="D119" s="94">
        <f>C119*N119</f>
        <v>0</v>
      </c>
      <c r="E119" s="141" t="s">
        <v>24</v>
      </c>
      <c r="F119" s="451" t="s">
        <v>25</v>
      </c>
      <c r="G119" s="452"/>
      <c r="H119" s="452"/>
      <c r="I119" s="453"/>
      <c r="J119" s="176"/>
      <c r="K119" s="176"/>
      <c r="L119" s="111"/>
      <c r="M119" s="112">
        <f>(((((2*(B117+C117))*(D117+G117+F117))+((2*(D117+E117))*(B117+H117+F117)))/90)*I117)/1000000</f>
        <v>0</v>
      </c>
      <c r="N119" s="112">
        <f>((IF(M119&lt;=informatieblad!$I$14,informatieblad!$I$14,IF(M119&gt;=informatieblad!$I$14,M119))))</f>
        <v>0.5</v>
      </c>
      <c r="O119" s="158">
        <f>(ROUND((((2*(X119+C117))*(((2*PI()*(X119+F117))*(I117/360))+H117+G117))/1000000),2))</f>
        <v>0</v>
      </c>
      <c r="P119" s="158">
        <f>((IF(O119&lt;=informatieblad!$H$14,informatieblad!$H$14,IF(O119&gt;=informatieblad!$H$14,O119))))</f>
        <v>0</v>
      </c>
      <c r="Q119" s="113">
        <f>((P119*AA119)+(P119*T119))*C119</f>
        <v>0</v>
      </c>
      <c r="R119" s="114">
        <f>((N119*AB119)+(N119*U119))*C119</f>
        <v>0</v>
      </c>
      <c r="S119" s="115" t="str">
        <f>F119</f>
        <v>Options None</v>
      </c>
      <c r="T119" s="115">
        <f>VLOOKUP(F119,informatieblad!$A$37:$D$41,2,FALSE)</f>
        <v>0</v>
      </c>
      <c r="U119" s="115">
        <f>VLOOKUP(F119,informatieblad!$A$37:$D$41,4,FALSE)</f>
        <v>0</v>
      </c>
      <c r="V119" s="180">
        <f>(MAX(B117,C117))</f>
        <v>0</v>
      </c>
      <c r="W119" s="119">
        <f>(MAX(D117,E117))</f>
        <v>0</v>
      </c>
      <c r="X119" s="119">
        <f>(MAX(B117,D117))</f>
        <v>0</v>
      </c>
      <c r="Y119" s="119">
        <f>(MAX(B117:E117))</f>
        <v>0</v>
      </c>
      <c r="Z119" s="119">
        <f>LOOKUP(Y119,informatieblad!$C$27:$C$32,informatieblad!$A$27:$A$32)</f>
        <v>0.5</v>
      </c>
      <c r="AA119" s="118">
        <f>VLOOKUP(Z119,informatieblad!$A$27:$M$32,6,FALSE)</f>
        <v>0</v>
      </c>
      <c r="AB119" s="118">
        <f>VLOOKUP(Z119,informatieblad!$A$27:$M$32,8,FALSE)</f>
        <v>45.1248</v>
      </c>
      <c r="AC119" s="120">
        <f>VLOOKUP(Z119,informatieblad!$A$27:$M$32,13,FALSE)</f>
        <v>4</v>
      </c>
      <c r="AD119" s="121">
        <f>ROUND((AC119*M119),1)</f>
        <v>0</v>
      </c>
      <c r="AF119" s="281">
        <f>IF(B118=AF117,(2*B117)+(2*C117),IF(B118=AF118,(2*B117)+(2*C117),0))*C119</f>
        <v>0</v>
      </c>
      <c r="AG119" s="261">
        <f>IF(D118=AF117,(2*D117)+(2*E117),IF(D118=AF118,(2*D117)+(2*E117),0))*C119</f>
        <v>0</v>
      </c>
      <c r="AH119" s="111">
        <f>IF(B118=AH117,(2*B117)+(2*C117),IF(B118=AH118,(2*B117)+(2*C117),0))*C119</f>
        <v>0</v>
      </c>
      <c r="AI119" s="260">
        <f>IF(D118=AH117,(2*D117)+(2*E117),IF(D118=AH118,(2*D117)+(2*E117),0))*C119</f>
        <v>0</v>
      </c>
      <c r="AJ119" s="261">
        <f>IF(B118=AJ117,(2*B117)+(2*C117),IF(B118=AJ118,(2*B117)+(2*C117),0))*C119</f>
        <v>0</v>
      </c>
      <c r="AK119" s="260">
        <f>IF(D118=AJ117,(2*D117)+(2*E117),IF(D118=AJ118,(2*D117)+(2*E117),0))*C119</f>
        <v>0</v>
      </c>
      <c r="AL119" s="111">
        <f>IF(B118=AL117,(2*B117)+(2*C117),0)*C119</f>
        <v>0</v>
      </c>
      <c r="AM119" s="260">
        <f>IF(D118=AL117,(2*D117)+(2*E117),0)*C119</f>
        <v>0</v>
      </c>
      <c r="AN119" s="83" t="str">
        <f>'UC mounting materials '!$B$11</f>
        <v>Rail 41x41</v>
      </c>
      <c r="AO119" s="268">
        <f>IF(Y119&gt;999,(Y119+100),0)*C119</f>
        <v>0</v>
      </c>
      <c r="AQ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AR119" s="275" t="str">
        <f>IF(D118=informatieblad!$A$6,informatieblad!$B$6,IF(D118=informatieblad!$A$7,informatieblad!$B$7,IF(D118=informatieblad!$A$8,informatieblad!$B$8,IF(D118=informatieblad!$A$2,informatieblad!$B$2,IF(D118=informatieblad!$A$3,informatieblad!$B$3,IF(D118=informatieblad!$A$4,informatieblad!$B$4,IF(D118=informatieblad!$A$5,informatieblad!$B$5,"")))))))</f>
        <v/>
      </c>
      <c r="AS119" s="276">
        <f>IF(AQ119=AS117,(4*C119),0)</f>
        <v>0</v>
      </c>
      <c r="AT119" s="276">
        <f>IF(AR119=AS117,(4*C119),0)</f>
        <v>0</v>
      </c>
      <c r="AU119" s="276">
        <f>IF(AQ119=AU117,(4*C119),0)</f>
        <v>0</v>
      </c>
      <c r="AV119" s="274">
        <f>IF(AR119=AU117,(4*C119),0)</f>
        <v>0</v>
      </c>
    </row>
    <row r="120" spans="1:48" ht="5.0999999999999996" customHeight="1" thickBot="1">
      <c r="A120" s="145"/>
      <c r="B120" s="122"/>
      <c r="C120" s="122"/>
      <c r="D120" s="122"/>
      <c r="E120" s="122"/>
      <c r="F120" s="122"/>
      <c r="G120" s="122"/>
      <c r="H120" s="122"/>
      <c r="I120" s="146"/>
    </row>
    <row r="121" spans="1:48" ht="15.75" customHeight="1" thickBot="1">
      <c r="A121" s="445"/>
      <c r="B121" s="96"/>
      <c r="C121" s="96"/>
      <c r="D121" s="96"/>
      <c r="E121" s="167">
        <f>C121</f>
        <v>0</v>
      </c>
      <c r="F121" s="177">
        <f>(B121&gt;0)*$I$10</f>
        <v>0</v>
      </c>
      <c r="G121" s="177">
        <f>(B121&gt;0)*$I$11</f>
        <v>0</v>
      </c>
      <c r="H121" s="177">
        <f>(B121&gt;0)*$I$12</f>
        <v>0</v>
      </c>
      <c r="I121" s="178"/>
      <c r="J121" s="345" t="s">
        <v>20</v>
      </c>
      <c r="K121" s="83"/>
      <c r="L121" s="97" t="s">
        <v>14</v>
      </c>
      <c r="M121" s="98" t="s">
        <v>27</v>
      </c>
      <c r="N121" s="98" t="s">
        <v>28</v>
      </c>
      <c r="O121" s="98" t="s">
        <v>27</v>
      </c>
      <c r="P121" s="98" t="s">
        <v>28</v>
      </c>
      <c r="Q121" s="98" t="s">
        <v>29</v>
      </c>
      <c r="R121" s="66" t="s">
        <v>30</v>
      </c>
      <c r="S121" s="153" t="s">
        <v>31</v>
      </c>
      <c r="T121" s="153"/>
      <c r="U121" s="153"/>
      <c r="V121" s="154" t="s">
        <v>83</v>
      </c>
      <c r="W121" s="100" t="s">
        <v>83</v>
      </c>
      <c r="X121" s="100" t="s">
        <v>83</v>
      </c>
      <c r="Y121" s="100" t="s">
        <v>33</v>
      </c>
      <c r="Z121" s="100" t="s">
        <v>34</v>
      </c>
      <c r="AA121" s="98" t="s">
        <v>32</v>
      </c>
      <c r="AB121" s="98" t="s">
        <v>32</v>
      </c>
      <c r="AC121" s="98" t="s">
        <v>50</v>
      </c>
      <c r="AD121" s="101" t="s">
        <v>36</v>
      </c>
      <c r="AF121" s="97" t="str">
        <f>informatieblad!$A$6</f>
        <v>FL20</v>
      </c>
      <c r="AG121" s="99"/>
      <c r="AH121" s="97" t="str">
        <f>informatieblad!$A$7</f>
        <v>FL30</v>
      </c>
      <c r="AI121" s="66"/>
      <c r="AJ121" s="99" t="str">
        <f>informatieblad!$A$8</f>
        <v>FL40</v>
      </c>
      <c r="AK121" s="66"/>
      <c r="AL121" s="97" t="str">
        <f>informatieblad!$A$5</f>
        <v>none</v>
      </c>
      <c r="AM121" s="264"/>
      <c r="AO121" s="266" t="s">
        <v>37</v>
      </c>
      <c r="AQ121" s="269" t="s">
        <v>38</v>
      </c>
      <c r="AR121" s="272"/>
      <c r="AS121" s="272">
        <f>informatieblad!$B$3</f>
        <v>0</v>
      </c>
      <c r="AT121" s="272">
        <f>informatieblad!$B$3</f>
        <v>0</v>
      </c>
      <c r="AU121" s="272">
        <f>informatieblad!$B$4</f>
        <v>0</v>
      </c>
      <c r="AV121" s="264">
        <f>informatieblad!$B$4</f>
        <v>0</v>
      </c>
    </row>
    <row r="122" spans="1:48" ht="15.75" customHeight="1">
      <c r="A122" s="467"/>
      <c r="B122" s="479" t="str">
        <f>IF($C123&gt;0,IF(MAX(B121:C121)&lt;informatieblad!$Q$4,informatieblad!$P$3,IF(MAX(B121:C121)&gt;informatieblad!$R$4,informatieblad!$P$5,informatieblad!$P$4)),"")</f>
        <v/>
      </c>
      <c r="C122" s="480"/>
      <c r="D122" s="479" t="str">
        <f>IF($C123&gt;0,IF(MAX(D121:E121)&lt;informatieblad!$Q$4,informatieblad!$P$3,IF(MAX(D121:E121)&gt;informatieblad!$R$4,informatieblad!$P$5,informatieblad!$P$4)),"")</f>
        <v/>
      </c>
      <c r="E122" s="480"/>
      <c r="F122" s="173" t="str">
        <f>A121&amp;"-"&amp;informatieblad!$B$14&amp;"-"&amp;B121&amp;"-"&amp;C121&amp;"-"&amp;D121&amp;"-"&amp;E121&amp;"-"&amp;F121&amp;"-"&amp;G121&amp;"-"&amp;H121&amp;"-"&amp;I121&amp;"-"&amp;B122&amp;"-"&amp;D122&amp;"-"&amp;F123</f>
        <v>-RctB----0-0-0-0----Options None</v>
      </c>
      <c r="G122" s="174"/>
      <c r="H122" s="179"/>
      <c r="I122" s="175"/>
      <c r="J122" s="83"/>
      <c r="K122" s="83"/>
      <c r="L122" s="103">
        <f>A121</f>
        <v>0</v>
      </c>
      <c r="M122" s="104" t="s">
        <v>39</v>
      </c>
      <c r="N122" s="104" t="s">
        <v>39</v>
      </c>
      <c r="O122" s="104" t="s">
        <v>40</v>
      </c>
      <c r="P122" s="104" t="s">
        <v>40</v>
      </c>
      <c r="Q122" s="104" t="s">
        <v>40</v>
      </c>
      <c r="R122" s="105"/>
      <c r="S122" s="155" t="s">
        <v>27</v>
      </c>
      <c r="T122" s="155" t="s">
        <v>40</v>
      </c>
      <c r="U122" s="155" t="s">
        <v>41</v>
      </c>
      <c r="V122" s="156" t="s">
        <v>109</v>
      </c>
      <c r="W122" s="104" t="s">
        <v>110</v>
      </c>
      <c r="X122" s="107" t="s">
        <v>95</v>
      </c>
      <c r="Y122" s="107"/>
      <c r="Z122" s="107"/>
      <c r="AA122" s="104" t="s">
        <v>40</v>
      </c>
      <c r="AB122" s="104" t="s">
        <v>41</v>
      </c>
      <c r="AC122" s="108"/>
      <c r="AD122" s="109"/>
      <c r="AF122" s="262" t="str">
        <f>informatieblad!$A$2</f>
        <v>FL20 loose</v>
      </c>
      <c r="AG122" s="263"/>
      <c r="AH122" s="262" t="str">
        <f>informatieblad!$A$3</f>
        <v>FL30 loose</v>
      </c>
      <c r="AI122" s="105"/>
      <c r="AJ122" s="263" t="str">
        <f>informatieblad!$A$4</f>
        <v>FL40 loose</v>
      </c>
      <c r="AK122" s="105"/>
      <c r="AL122" s="265"/>
      <c r="AM122" s="105"/>
      <c r="AN122" s="83" t="str">
        <f>'UC mounting materials '!$B$10</f>
        <v>Rail 30x15</v>
      </c>
      <c r="AO122" s="327">
        <f>IF(Y123&lt;1000,(Y123+100),0)*C123</f>
        <v>0</v>
      </c>
      <c r="AQ122" s="265" t="s">
        <v>47</v>
      </c>
      <c r="AR122" s="106" t="s">
        <v>48</v>
      </c>
      <c r="AS122" s="83" t="s">
        <v>23</v>
      </c>
      <c r="AT122" s="83" t="s">
        <v>23</v>
      </c>
      <c r="AU122" s="83" t="s">
        <v>23</v>
      </c>
      <c r="AV122" s="273" t="s">
        <v>23</v>
      </c>
    </row>
    <row r="123" spans="1:48" ht="15.75" customHeight="1" thickBot="1">
      <c r="A123" s="468"/>
      <c r="B123" s="92" t="s">
        <v>23</v>
      </c>
      <c r="C123" s="110"/>
      <c r="D123" s="94">
        <f>C123*N123</f>
        <v>0</v>
      </c>
      <c r="E123" s="141" t="s">
        <v>24</v>
      </c>
      <c r="F123" s="451" t="s">
        <v>25</v>
      </c>
      <c r="G123" s="452"/>
      <c r="H123" s="452"/>
      <c r="I123" s="453"/>
      <c r="J123" s="176"/>
      <c r="K123" s="176"/>
      <c r="L123" s="111"/>
      <c r="M123" s="112">
        <f>(((((2*(B121+C121))*(D121+G121+F121))+((2*(D121+E121))*(B121+H121+F121)))/90)*I121)/1000000</f>
        <v>0</v>
      </c>
      <c r="N123" s="112">
        <f>((IF(M123&lt;=informatieblad!$I$14,informatieblad!$I$14,IF(M123&gt;=informatieblad!$I$14,M123))))</f>
        <v>0.5</v>
      </c>
      <c r="O123" s="158">
        <f>(ROUND((((2*(X123+C121))*(((2*PI()*(X123+F121))*(I121/360))+H121+G121))/1000000),2))</f>
        <v>0</v>
      </c>
      <c r="P123" s="158">
        <f>((IF(O123&lt;=informatieblad!$H$14,informatieblad!$H$14,IF(O123&gt;=informatieblad!$H$14,O123))))</f>
        <v>0</v>
      </c>
      <c r="Q123" s="113">
        <f>((P123*AA123)+(P123*T123))*C123</f>
        <v>0</v>
      </c>
      <c r="R123" s="114">
        <f>((N123*AB123)+(N123*U123))*C123</f>
        <v>0</v>
      </c>
      <c r="S123" s="115" t="str">
        <f>F123</f>
        <v>Options None</v>
      </c>
      <c r="T123" s="115">
        <f>VLOOKUP(F123,informatieblad!$A$37:$D$41,2,FALSE)</f>
        <v>0</v>
      </c>
      <c r="U123" s="115">
        <f>VLOOKUP(F123,informatieblad!$A$37:$D$41,4,FALSE)</f>
        <v>0</v>
      </c>
      <c r="V123" s="180">
        <f>(MAX(B121,C121))</f>
        <v>0</v>
      </c>
      <c r="W123" s="119">
        <f>(MAX(D121,E121))</f>
        <v>0</v>
      </c>
      <c r="X123" s="119">
        <f>(MAX(B121,D121))</f>
        <v>0</v>
      </c>
      <c r="Y123" s="119">
        <f>(MAX(B121:E121))</f>
        <v>0</v>
      </c>
      <c r="Z123" s="119">
        <f>LOOKUP(Y123,informatieblad!$C$27:$C$32,informatieblad!$A$27:$A$32)</f>
        <v>0.5</v>
      </c>
      <c r="AA123" s="118">
        <f>VLOOKUP(Z123,informatieblad!$A$27:$M$32,6,FALSE)</f>
        <v>0</v>
      </c>
      <c r="AB123" s="118">
        <f>VLOOKUP(Z123,informatieblad!$A$27:$M$32,8,FALSE)</f>
        <v>45.1248</v>
      </c>
      <c r="AC123" s="120">
        <f>VLOOKUP(Z123,informatieblad!$A$27:$M$32,13,FALSE)</f>
        <v>4</v>
      </c>
      <c r="AD123" s="121">
        <f>ROUND((AC123*M123),1)</f>
        <v>0</v>
      </c>
      <c r="AF123" s="281">
        <f>IF(B122=AF121,(2*B121)+(2*C121),IF(B122=AF122,(2*B121)+(2*C121),0))*C123</f>
        <v>0</v>
      </c>
      <c r="AG123" s="261">
        <f>IF(D122=AF121,(2*D121)+(2*E121),IF(D122=AF122,(2*D121)+(2*E121),0))*C123</f>
        <v>0</v>
      </c>
      <c r="AH123" s="111">
        <f>IF(B122=AH121,(2*B121)+(2*C121),IF(B122=AH122,(2*B121)+(2*C121),0))*C123</f>
        <v>0</v>
      </c>
      <c r="AI123" s="260">
        <f>IF(D122=AH121,(2*D121)+(2*E121),IF(D122=AH122,(2*D121)+(2*E121),0))*C123</f>
        <v>0</v>
      </c>
      <c r="AJ123" s="261">
        <f>IF(B122=AJ121,(2*B121)+(2*C121),IF(B122=AJ122,(2*B121)+(2*C121),0))*C123</f>
        <v>0</v>
      </c>
      <c r="AK123" s="260">
        <f>IF(D122=AJ121,(2*D121)+(2*E121),IF(D122=AJ122,(2*D121)+(2*E121),0))*C123</f>
        <v>0</v>
      </c>
      <c r="AL123" s="111">
        <f>IF(B122=AL121,(2*B121)+(2*C121),0)*C123</f>
        <v>0</v>
      </c>
      <c r="AM123" s="260">
        <f>IF(D122=AL121,(2*D121)+(2*E121),0)*C123</f>
        <v>0</v>
      </c>
      <c r="AN123" s="83" t="str">
        <f>'UC mounting materials '!$B$11</f>
        <v>Rail 41x41</v>
      </c>
      <c r="AO123" s="268">
        <f>IF(Y123&gt;999,(Y123+100),0)*C123</f>
        <v>0</v>
      </c>
      <c r="AQ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AR123" s="275" t="str">
        <f>IF(D122=informatieblad!$A$6,informatieblad!$B$6,IF(D122=informatieblad!$A$7,informatieblad!$B$7,IF(D122=informatieblad!$A$8,informatieblad!$B$8,IF(D122=informatieblad!$A$2,informatieblad!$B$2,IF(D122=informatieblad!$A$3,informatieblad!$B$3,IF(D122=informatieblad!$A$4,informatieblad!$B$4,IF(D122=informatieblad!$A$5,informatieblad!$B$5,"")))))))</f>
        <v/>
      </c>
      <c r="AS123" s="276">
        <f>IF(AQ123=AS121,(4*C123),0)</f>
        <v>0</v>
      </c>
      <c r="AT123" s="276">
        <f>IF(AR123=AS121,(4*C123),0)</f>
        <v>0</v>
      </c>
      <c r="AU123" s="276">
        <f>IF(AQ123=AU121,(4*C123),0)</f>
        <v>0</v>
      </c>
      <c r="AV123" s="274">
        <f>IF(AR123=AU121,(4*C123),0)</f>
        <v>0</v>
      </c>
    </row>
    <row r="124" spans="1:48" ht="5.0999999999999996" customHeight="1" thickBot="1">
      <c r="A124" s="145"/>
      <c r="B124" s="122"/>
      <c r="C124" s="122"/>
      <c r="D124" s="122"/>
      <c r="E124" s="122"/>
      <c r="F124" s="122"/>
      <c r="G124" s="122"/>
      <c r="H124" s="122"/>
      <c r="I124" s="146"/>
    </row>
    <row r="125" spans="1:48" ht="15.75" customHeight="1" thickBot="1">
      <c r="A125" s="445"/>
      <c r="B125" s="96"/>
      <c r="C125" s="96"/>
      <c r="D125" s="96"/>
      <c r="E125" s="167">
        <f>C125</f>
        <v>0</v>
      </c>
      <c r="F125" s="177">
        <f>(B125&gt;0)*$I$10</f>
        <v>0</v>
      </c>
      <c r="G125" s="177">
        <f>(B125&gt;0)*$I$11</f>
        <v>0</v>
      </c>
      <c r="H125" s="177">
        <f>(B125&gt;0)*$I$12</f>
        <v>0</v>
      </c>
      <c r="I125" s="178"/>
      <c r="J125" s="345" t="s">
        <v>20</v>
      </c>
      <c r="K125" s="83"/>
      <c r="L125" s="97" t="s">
        <v>14</v>
      </c>
      <c r="M125" s="98" t="s">
        <v>27</v>
      </c>
      <c r="N125" s="98" t="s">
        <v>28</v>
      </c>
      <c r="O125" s="98" t="s">
        <v>27</v>
      </c>
      <c r="P125" s="98" t="s">
        <v>28</v>
      </c>
      <c r="Q125" s="98" t="s">
        <v>29</v>
      </c>
      <c r="R125" s="66" t="s">
        <v>30</v>
      </c>
      <c r="S125" s="153" t="s">
        <v>31</v>
      </c>
      <c r="T125" s="153"/>
      <c r="U125" s="153"/>
      <c r="V125" s="154" t="s">
        <v>83</v>
      </c>
      <c r="W125" s="100" t="s">
        <v>83</v>
      </c>
      <c r="X125" s="100" t="s">
        <v>83</v>
      </c>
      <c r="Y125" s="100" t="s">
        <v>33</v>
      </c>
      <c r="Z125" s="100" t="s">
        <v>34</v>
      </c>
      <c r="AA125" s="98" t="s">
        <v>32</v>
      </c>
      <c r="AB125" s="98" t="s">
        <v>32</v>
      </c>
      <c r="AC125" s="98" t="s">
        <v>50</v>
      </c>
      <c r="AD125" s="101" t="s">
        <v>36</v>
      </c>
      <c r="AF125" s="97" t="str">
        <f>informatieblad!$A$6</f>
        <v>FL20</v>
      </c>
      <c r="AG125" s="99"/>
      <c r="AH125" s="97" t="str">
        <f>informatieblad!$A$7</f>
        <v>FL30</v>
      </c>
      <c r="AI125" s="66"/>
      <c r="AJ125" s="99" t="str">
        <f>informatieblad!$A$8</f>
        <v>FL40</v>
      </c>
      <c r="AK125" s="66"/>
      <c r="AL125" s="97" t="str">
        <f>informatieblad!$A$5</f>
        <v>none</v>
      </c>
      <c r="AM125" s="264"/>
      <c r="AO125" s="266" t="s">
        <v>37</v>
      </c>
      <c r="AQ125" s="269" t="s">
        <v>38</v>
      </c>
      <c r="AR125" s="272"/>
      <c r="AS125" s="272">
        <f>informatieblad!$B$3</f>
        <v>0</v>
      </c>
      <c r="AT125" s="272">
        <f>informatieblad!$B$3</f>
        <v>0</v>
      </c>
      <c r="AU125" s="272">
        <f>informatieblad!$B$4</f>
        <v>0</v>
      </c>
      <c r="AV125" s="264">
        <f>informatieblad!$B$4</f>
        <v>0</v>
      </c>
    </row>
    <row r="126" spans="1:48" ht="15.75" customHeight="1">
      <c r="A126" s="467"/>
      <c r="B126" s="479" t="str">
        <f>IF($C127&gt;0,IF(MAX(B125:C125)&lt;informatieblad!$Q$4,informatieblad!$P$3,IF(MAX(B125:C125)&gt;informatieblad!$R$4,informatieblad!$P$5,informatieblad!$P$4)),"")</f>
        <v/>
      </c>
      <c r="C126" s="480"/>
      <c r="D126" s="479" t="str">
        <f>IF($C127&gt;0,IF(MAX(D125:E125)&lt;informatieblad!$Q$4,informatieblad!$P$3,IF(MAX(D125:E125)&gt;informatieblad!$R$4,informatieblad!$P$5,informatieblad!$P$4)),"")</f>
        <v/>
      </c>
      <c r="E126" s="480"/>
      <c r="F126" s="173" t="str">
        <f>A125&amp;"-"&amp;informatieblad!$B$14&amp;"-"&amp;B125&amp;"-"&amp;C125&amp;"-"&amp;D125&amp;"-"&amp;E125&amp;"-"&amp;F125&amp;"-"&amp;G125&amp;"-"&amp;H125&amp;"-"&amp;I125&amp;"-"&amp;B126&amp;"-"&amp;D126&amp;"-"&amp;F127</f>
        <v>-RctB----0-0-0-0----Options None</v>
      </c>
      <c r="G126" s="174"/>
      <c r="H126" s="179"/>
      <c r="I126" s="175"/>
      <c r="J126" s="83"/>
      <c r="K126" s="83"/>
      <c r="L126" s="103">
        <f>A125</f>
        <v>0</v>
      </c>
      <c r="M126" s="104" t="s">
        <v>39</v>
      </c>
      <c r="N126" s="104" t="s">
        <v>39</v>
      </c>
      <c r="O126" s="104" t="s">
        <v>40</v>
      </c>
      <c r="P126" s="104" t="s">
        <v>40</v>
      </c>
      <c r="Q126" s="104" t="s">
        <v>40</v>
      </c>
      <c r="R126" s="105"/>
      <c r="S126" s="155" t="s">
        <v>27</v>
      </c>
      <c r="T126" s="155" t="s">
        <v>40</v>
      </c>
      <c r="U126" s="155" t="s">
        <v>41</v>
      </c>
      <c r="V126" s="156" t="s">
        <v>109</v>
      </c>
      <c r="W126" s="104" t="s">
        <v>110</v>
      </c>
      <c r="X126" s="107" t="s">
        <v>95</v>
      </c>
      <c r="Y126" s="107"/>
      <c r="Z126" s="107"/>
      <c r="AA126" s="104" t="s">
        <v>40</v>
      </c>
      <c r="AB126" s="104" t="s">
        <v>41</v>
      </c>
      <c r="AC126" s="108"/>
      <c r="AD126" s="109"/>
      <c r="AF126" s="262" t="str">
        <f>informatieblad!$A$2</f>
        <v>FL20 loose</v>
      </c>
      <c r="AG126" s="263"/>
      <c r="AH126" s="262" t="str">
        <f>informatieblad!$A$3</f>
        <v>FL30 loose</v>
      </c>
      <c r="AI126" s="105"/>
      <c r="AJ126" s="263" t="str">
        <f>informatieblad!$A$4</f>
        <v>FL40 loose</v>
      </c>
      <c r="AK126" s="105"/>
      <c r="AL126" s="265"/>
      <c r="AM126" s="105"/>
      <c r="AN126" s="83" t="str">
        <f>'UC mounting materials '!$B$10</f>
        <v>Rail 30x15</v>
      </c>
      <c r="AO126" s="327">
        <f>IF(Y127&lt;1000,(Y127+100),0)*C127</f>
        <v>0</v>
      </c>
      <c r="AQ126" s="265" t="s">
        <v>47</v>
      </c>
      <c r="AR126" s="106" t="s">
        <v>48</v>
      </c>
      <c r="AS126" s="83" t="s">
        <v>23</v>
      </c>
      <c r="AT126" s="83" t="s">
        <v>23</v>
      </c>
      <c r="AU126" s="83" t="s">
        <v>23</v>
      </c>
      <c r="AV126" s="273" t="s">
        <v>23</v>
      </c>
    </row>
    <row r="127" spans="1:48" ht="15.75" customHeight="1" thickBot="1">
      <c r="A127" s="468"/>
      <c r="B127" s="92" t="s">
        <v>23</v>
      </c>
      <c r="C127" s="110"/>
      <c r="D127" s="94">
        <f>C127*N127</f>
        <v>0</v>
      </c>
      <c r="E127" s="141" t="s">
        <v>24</v>
      </c>
      <c r="F127" s="451" t="s">
        <v>25</v>
      </c>
      <c r="G127" s="452"/>
      <c r="H127" s="452"/>
      <c r="I127" s="453"/>
      <c r="J127" s="176"/>
      <c r="K127" s="176"/>
      <c r="L127" s="111"/>
      <c r="M127" s="112">
        <f>(((((2*(B125+C125))*(D125+G125+F125))+((2*(D125+E125))*(B125+H125+F125)))/90)*I125)/1000000</f>
        <v>0</v>
      </c>
      <c r="N127" s="112">
        <f>((IF(M127&lt;=informatieblad!$I$14,informatieblad!$I$14,IF(M127&gt;=informatieblad!$I$14,M127))))</f>
        <v>0.5</v>
      </c>
      <c r="O127" s="158">
        <f>(ROUND((((2*(X127+C125))*(((2*PI()*(X127+F125))*(I125/360))+H125+G125))/1000000),2))</f>
        <v>0</v>
      </c>
      <c r="P127" s="158">
        <f>((IF(O127&lt;=informatieblad!$H$14,informatieblad!$H$14,IF(O127&gt;=informatieblad!$H$14,O127))))</f>
        <v>0</v>
      </c>
      <c r="Q127" s="113">
        <f>((P127*AA127)+(P127*T127))*C127</f>
        <v>0</v>
      </c>
      <c r="R127" s="114">
        <f>((N127*AB127)+(N127*U127))*C127</f>
        <v>0</v>
      </c>
      <c r="S127" s="115" t="str">
        <f>F127</f>
        <v>Options None</v>
      </c>
      <c r="T127" s="115">
        <f>VLOOKUP(F127,informatieblad!$A$37:$D$41,2,FALSE)</f>
        <v>0</v>
      </c>
      <c r="U127" s="115">
        <f>VLOOKUP(F127,informatieblad!$A$37:$D$41,4,FALSE)</f>
        <v>0</v>
      </c>
      <c r="V127" s="180">
        <f>(MAX(B125,C125))</f>
        <v>0</v>
      </c>
      <c r="W127" s="119">
        <f>(MAX(D125,E125))</f>
        <v>0</v>
      </c>
      <c r="X127" s="119">
        <f>(MAX(B125,D125))</f>
        <v>0</v>
      </c>
      <c r="Y127" s="119">
        <f>(MAX(B125:E125))</f>
        <v>0</v>
      </c>
      <c r="Z127" s="119">
        <f>LOOKUP(Y127,informatieblad!$C$27:$C$32,informatieblad!$A$27:$A$32)</f>
        <v>0.5</v>
      </c>
      <c r="AA127" s="118">
        <f>VLOOKUP(Z127,informatieblad!$A$27:$M$32,6,FALSE)</f>
        <v>0</v>
      </c>
      <c r="AB127" s="118">
        <f>VLOOKUP(Z127,informatieblad!$A$27:$M$32,8,FALSE)</f>
        <v>45.1248</v>
      </c>
      <c r="AC127" s="120">
        <f>VLOOKUP(Z127,informatieblad!$A$27:$M$32,13,FALSE)</f>
        <v>4</v>
      </c>
      <c r="AD127" s="121">
        <f>ROUND((AC127*M127),1)</f>
        <v>0</v>
      </c>
      <c r="AF127" s="281">
        <f>IF(B126=AF125,(2*B125)+(2*C125),IF(B126=AF126,(2*B125)+(2*C125),0))*C127</f>
        <v>0</v>
      </c>
      <c r="AG127" s="261">
        <f>IF(D126=AF125,(2*D125)+(2*E125),IF(D126=AF126,(2*D125)+(2*E125),0))*C127</f>
        <v>0</v>
      </c>
      <c r="AH127" s="111">
        <f>IF(B126=AH125,(2*B125)+(2*C125),IF(B126=AH126,(2*B125)+(2*C125),0))*C127</f>
        <v>0</v>
      </c>
      <c r="AI127" s="260">
        <f>IF(D126=AH125,(2*D125)+(2*E125),IF(D126=AH126,(2*D125)+(2*E125),0))*C127</f>
        <v>0</v>
      </c>
      <c r="AJ127" s="261">
        <f>IF(B126=AJ125,(2*B125)+(2*C125),IF(B126=AJ126,(2*B125)+(2*C125),0))*C127</f>
        <v>0</v>
      </c>
      <c r="AK127" s="260">
        <f>IF(D126=AJ125,(2*D125)+(2*E125),IF(D126=AJ126,(2*D125)+(2*E125),0))*C127</f>
        <v>0</v>
      </c>
      <c r="AL127" s="111">
        <f>IF(B126=AL125,(2*B125)+(2*C125),0)*C127</f>
        <v>0</v>
      </c>
      <c r="AM127" s="260">
        <f>IF(D126=AL125,(2*D125)+(2*E125),0)*C127</f>
        <v>0</v>
      </c>
      <c r="AN127" s="83" t="str">
        <f>'UC mounting materials '!$B$11</f>
        <v>Rail 41x41</v>
      </c>
      <c r="AO127" s="268">
        <f>IF(Y127&gt;999,(Y127+100),0)*C127</f>
        <v>0</v>
      </c>
      <c r="AQ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AR127" s="275" t="str">
        <f>IF(D126=informatieblad!$A$6,informatieblad!$B$6,IF(D126=informatieblad!$A$7,informatieblad!$B$7,IF(D126=informatieblad!$A$8,informatieblad!$B$8,IF(D126=informatieblad!$A$2,informatieblad!$B$2,IF(D126=informatieblad!$A$3,informatieblad!$B$3,IF(D126=informatieblad!$A$4,informatieblad!$B$4,IF(D126=informatieblad!$A$5,informatieblad!$B$5,"")))))))</f>
        <v/>
      </c>
      <c r="AS127" s="276">
        <f>IF(AQ127=AS125,(4*C127),0)</f>
        <v>0</v>
      </c>
      <c r="AT127" s="276">
        <f>IF(AR127=AS125,(4*C127),0)</f>
        <v>0</v>
      </c>
      <c r="AU127" s="276">
        <f>IF(AQ127=AU125,(4*C127),0)</f>
        <v>0</v>
      </c>
      <c r="AV127" s="274">
        <f>IF(AR127=AU125,(4*C127),0)</f>
        <v>0</v>
      </c>
    </row>
    <row r="128" spans="1:48" ht="5.0999999999999996" customHeight="1" thickBot="1">
      <c r="A128" s="145"/>
      <c r="B128" s="122"/>
      <c r="C128" s="122"/>
      <c r="D128" s="122"/>
      <c r="E128" s="122"/>
      <c r="F128" s="122"/>
      <c r="G128" s="122"/>
      <c r="H128" s="122"/>
      <c r="I128" s="146"/>
    </row>
    <row r="129" spans="1:48" ht="15.75" customHeight="1" thickBot="1">
      <c r="A129" s="445"/>
      <c r="B129" s="96"/>
      <c r="C129" s="96"/>
      <c r="D129" s="96"/>
      <c r="E129" s="167">
        <f>C129</f>
        <v>0</v>
      </c>
      <c r="F129" s="177">
        <f>(B129&gt;0)*$I$10</f>
        <v>0</v>
      </c>
      <c r="G129" s="177">
        <f>(B129&gt;0)*$I$11</f>
        <v>0</v>
      </c>
      <c r="H129" s="177">
        <f>(B129&gt;0)*$I$12</f>
        <v>0</v>
      </c>
      <c r="I129" s="178"/>
      <c r="J129" s="345" t="s">
        <v>20</v>
      </c>
      <c r="K129" s="83"/>
      <c r="L129" s="97" t="s">
        <v>14</v>
      </c>
      <c r="M129" s="98" t="s">
        <v>27</v>
      </c>
      <c r="N129" s="98" t="s">
        <v>28</v>
      </c>
      <c r="O129" s="98" t="s">
        <v>27</v>
      </c>
      <c r="P129" s="98" t="s">
        <v>28</v>
      </c>
      <c r="Q129" s="98" t="s">
        <v>29</v>
      </c>
      <c r="R129" s="66" t="s">
        <v>30</v>
      </c>
      <c r="S129" s="153" t="s">
        <v>31</v>
      </c>
      <c r="T129" s="153"/>
      <c r="U129" s="153"/>
      <c r="V129" s="154" t="s">
        <v>83</v>
      </c>
      <c r="W129" s="100" t="s">
        <v>83</v>
      </c>
      <c r="X129" s="100" t="s">
        <v>83</v>
      </c>
      <c r="Y129" s="100" t="s">
        <v>33</v>
      </c>
      <c r="Z129" s="100" t="s">
        <v>34</v>
      </c>
      <c r="AA129" s="98" t="s">
        <v>32</v>
      </c>
      <c r="AB129" s="98" t="s">
        <v>32</v>
      </c>
      <c r="AC129" s="98" t="s">
        <v>51</v>
      </c>
      <c r="AD129" s="101" t="s">
        <v>36</v>
      </c>
      <c r="AF129" s="97" t="str">
        <f>informatieblad!$A$6</f>
        <v>FL20</v>
      </c>
      <c r="AG129" s="99"/>
      <c r="AH129" s="97" t="str">
        <f>informatieblad!$A$7</f>
        <v>FL30</v>
      </c>
      <c r="AI129" s="66"/>
      <c r="AJ129" s="99" t="str">
        <f>informatieblad!$A$8</f>
        <v>FL40</v>
      </c>
      <c r="AK129" s="66"/>
      <c r="AL129" s="97" t="str">
        <f>informatieblad!$A$5</f>
        <v>none</v>
      </c>
      <c r="AM129" s="264"/>
      <c r="AO129" s="266" t="s">
        <v>37</v>
      </c>
      <c r="AQ129" s="269" t="s">
        <v>38</v>
      </c>
      <c r="AR129" s="272"/>
      <c r="AS129" s="272">
        <f>informatieblad!$B$3</f>
        <v>0</v>
      </c>
      <c r="AT129" s="272">
        <f>informatieblad!$B$3</f>
        <v>0</v>
      </c>
      <c r="AU129" s="272">
        <f>informatieblad!$B$4</f>
        <v>0</v>
      </c>
      <c r="AV129" s="264">
        <f>informatieblad!$B$4</f>
        <v>0</v>
      </c>
    </row>
    <row r="130" spans="1:48" ht="15.75" customHeight="1">
      <c r="A130" s="467"/>
      <c r="B130" s="479" t="str">
        <f>IF($C131&gt;0,IF(MAX(B129:C129)&lt;informatieblad!$Q$4,informatieblad!$P$3,IF(MAX(B129:C129)&gt;informatieblad!$R$4,informatieblad!$P$5,informatieblad!$P$4)),"")</f>
        <v/>
      </c>
      <c r="C130" s="480"/>
      <c r="D130" s="479" t="str">
        <f>IF($C131&gt;0,IF(MAX(D129:E129)&lt;informatieblad!$Q$4,informatieblad!$P$3,IF(MAX(D129:E129)&gt;informatieblad!$R$4,informatieblad!$P$5,informatieblad!$P$4)),"")</f>
        <v/>
      </c>
      <c r="E130" s="480"/>
      <c r="F130" s="173" t="str">
        <f>A129&amp;"-"&amp;informatieblad!$B$14&amp;"-"&amp;B129&amp;"-"&amp;C129&amp;"-"&amp;D129&amp;"-"&amp;E129&amp;"-"&amp;F129&amp;"-"&amp;G129&amp;"-"&amp;H129&amp;"-"&amp;I129&amp;"-"&amp;B130&amp;"-"&amp;D130&amp;"-"&amp;F131</f>
        <v>-RctB----0-0-0-0----Options None</v>
      </c>
      <c r="G130" s="174"/>
      <c r="H130" s="179"/>
      <c r="I130" s="175"/>
      <c r="J130" s="83"/>
      <c r="K130" s="83"/>
      <c r="L130" s="103">
        <f>A129</f>
        <v>0</v>
      </c>
      <c r="M130" s="104" t="s">
        <v>39</v>
      </c>
      <c r="N130" s="104" t="s">
        <v>39</v>
      </c>
      <c r="O130" s="104" t="s">
        <v>40</v>
      </c>
      <c r="P130" s="104" t="s">
        <v>40</v>
      </c>
      <c r="Q130" s="104" t="s">
        <v>40</v>
      </c>
      <c r="R130" s="105"/>
      <c r="S130" s="155" t="s">
        <v>27</v>
      </c>
      <c r="T130" s="155" t="s">
        <v>40</v>
      </c>
      <c r="U130" s="155" t="s">
        <v>41</v>
      </c>
      <c r="V130" s="156" t="s">
        <v>111</v>
      </c>
      <c r="W130" s="104" t="s">
        <v>112</v>
      </c>
      <c r="X130" s="107" t="s">
        <v>113</v>
      </c>
      <c r="Y130" s="107"/>
      <c r="Z130" s="107"/>
      <c r="AA130" s="104" t="s">
        <v>40</v>
      </c>
      <c r="AB130" s="104" t="s">
        <v>41</v>
      </c>
      <c r="AC130" s="108"/>
      <c r="AD130" s="109"/>
      <c r="AF130" s="262" t="str">
        <f>informatieblad!$A$2</f>
        <v>FL20 loose</v>
      </c>
      <c r="AG130" s="263"/>
      <c r="AH130" s="262" t="str">
        <f>informatieblad!$A$3</f>
        <v>FL30 loose</v>
      </c>
      <c r="AI130" s="105"/>
      <c r="AJ130" s="263" t="str">
        <f>informatieblad!$A$4</f>
        <v>FL40 loose</v>
      </c>
      <c r="AK130" s="105"/>
      <c r="AL130" s="265"/>
      <c r="AM130" s="105"/>
      <c r="AN130" s="83" t="str">
        <f>'UC mounting materials '!$B$10</f>
        <v>Rail 30x15</v>
      </c>
      <c r="AO130" s="327">
        <f>IF(Y131&lt;1000,(Y131+100),0)*C131</f>
        <v>0</v>
      </c>
      <c r="AQ130" s="265" t="s">
        <v>47</v>
      </c>
      <c r="AR130" s="106" t="s">
        <v>48</v>
      </c>
      <c r="AS130" s="83" t="s">
        <v>23</v>
      </c>
      <c r="AT130" s="83" t="s">
        <v>23</v>
      </c>
      <c r="AU130" s="83" t="s">
        <v>23</v>
      </c>
      <c r="AV130" s="273" t="s">
        <v>23</v>
      </c>
    </row>
    <row r="131" spans="1:48" ht="15.75" customHeight="1" thickBot="1">
      <c r="A131" s="468"/>
      <c r="B131" s="92" t="s">
        <v>23</v>
      </c>
      <c r="C131" s="110"/>
      <c r="D131" s="94">
        <f>C131*N131</f>
        <v>0</v>
      </c>
      <c r="E131" s="141" t="s">
        <v>24</v>
      </c>
      <c r="F131" s="451" t="s">
        <v>25</v>
      </c>
      <c r="G131" s="452"/>
      <c r="H131" s="452"/>
      <c r="I131" s="453"/>
      <c r="J131" s="176"/>
      <c r="K131" s="176"/>
      <c r="L131" s="111"/>
      <c r="M131" s="112">
        <f>(((((2*(B129+C129))*(D129+G129+F129))+((2*(D129+E129))*(B129+H129+F129)))/90)*I129)/1000000</f>
        <v>0</v>
      </c>
      <c r="N131" s="112">
        <f>((IF(M131&lt;=informatieblad!$I$14,informatieblad!$I$14,IF(M131&gt;=informatieblad!$I$14,M131))))</f>
        <v>0.5</v>
      </c>
      <c r="O131" s="158">
        <f>(ROUND((((2*(X131+C129))*(((2*PI()*(X131+F129))*(I129/360))+H129+G129))/1000000),2))</f>
        <v>0</v>
      </c>
      <c r="P131" s="158">
        <f>((IF(O131&lt;=informatieblad!$H$14,informatieblad!$H$14,IF(O131&gt;=informatieblad!$H$14,O131))))</f>
        <v>0</v>
      </c>
      <c r="Q131" s="113">
        <f>((P131*AA131)+(P131*T131))*C131</f>
        <v>0</v>
      </c>
      <c r="R131" s="114">
        <f>((N131*AB131)+(N131*U131))*C131</f>
        <v>0</v>
      </c>
      <c r="S131" s="115" t="str">
        <f>F131</f>
        <v>Options None</v>
      </c>
      <c r="T131" s="115">
        <f>VLOOKUP(F131,informatieblad!$A$37:$D$41,2,FALSE)</f>
        <v>0</v>
      </c>
      <c r="U131" s="115">
        <f>VLOOKUP(F131,informatieblad!$A$37:$D$41,4,FALSE)</f>
        <v>0</v>
      </c>
      <c r="V131" s="180">
        <f>(MAX(B129,C129))</f>
        <v>0</v>
      </c>
      <c r="W131" s="119">
        <f>(MAX(D129,E129))</f>
        <v>0</v>
      </c>
      <c r="X131" s="119">
        <f>(MAX(B129,D129))</f>
        <v>0</v>
      </c>
      <c r="Y131" s="119">
        <f>(MAX(B129:E129))</f>
        <v>0</v>
      </c>
      <c r="Z131" s="119">
        <f>LOOKUP(Y131,informatieblad!$C$27:$C$32,informatieblad!$A$27:$A$32)</f>
        <v>0.5</v>
      </c>
      <c r="AA131" s="118">
        <f>VLOOKUP(Z131,informatieblad!$A$27:$M$32,6,FALSE)</f>
        <v>0</v>
      </c>
      <c r="AB131" s="118">
        <f>VLOOKUP(Z131,informatieblad!$A$27:$M$32,8,FALSE)</f>
        <v>45.1248</v>
      </c>
      <c r="AC131" s="120">
        <f>VLOOKUP(Z131,informatieblad!$A$27:$M$32,13,FALSE)</f>
        <v>4</v>
      </c>
      <c r="AD131" s="121">
        <f>ROUND((AC131*M131),1)</f>
        <v>0</v>
      </c>
      <c r="AF131" s="281">
        <f>IF(B130=AF129,(2*B129)+(2*C129),IF(B130=AF130,(2*B129)+(2*C129),0))*C131</f>
        <v>0</v>
      </c>
      <c r="AG131" s="261">
        <f>IF(D130=AF129,(2*D129)+(2*E129),IF(D130=AF130,(2*D129)+(2*E129),0))*C131</f>
        <v>0</v>
      </c>
      <c r="AH131" s="111">
        <f>IF(B130=AH129,(2*B129)+(2*C129),IF(B130=AH130,(2*B129)+(2*C129),0))*C131</f>
        <v>0</v>
      </c>
      <c r="AI131" s="260">
        <f>IF(D130=AH129,(2*D129)+(2*E129),IF(D130=AH130,(2*D129)+(2*E129),0))*C131</f>
        <v>0</v>
      </c>
      <c r="AJ131" s="261">
        <f>IF(B130=AJ129,(2*B129)+(2*C129),IF(B130=AJ130,(2*B129)+(2*C129),0))*C131</f>
        <v>0</v>
      </c>
      <c r="AK131" s="260">
        <f>IF(D130=AJ129,(2*D129)+(2*E129),IF(D130=AJ130,(2*D129)+(2*E129),0))*C131</f>
        <v>0</v>
      </c>
      <c r="AL131" s="111">
        <f>IF(B130=AL129,(2*B129)+(2*C129),0)*C131</f>
        <v>0</v>
      </c>
      <c r="AM131" s="260">
        <f>IF(D130=AL129,(2*D129)+(2*E129),0)*C131</f>
        <v>0</v>
      </c>
      <c r="AN131" s="83" t="str">
        <f>'UC mounting materials '!$B$11</f>
        <v>Rail 41x41</v>
      </c>
      <c r="AO131" s="268">
        <f>IF(Y131&gt;999,(Y131+100),0)*C131</f>
        <v>0</v>
      </c>
      <c r="AQ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AR131" s="275" t="str">
        <f>IF(D130=informatieblad!$A$6,informatieblad!$B$6,IF(D130=informatieblad!$A$7,informatieblad!$B$7,IF(D130=informatieblad!$A$8,informatieblad!$B$8,IF(D130=informatieblad!$A$2,informatieblad!$B$2,IF(D130=informatieblad!$A$3,informatieblad!$B$3,IF(D130=informatieblad!$A$4,informatieblad!$B$4,IF(D130=informatieblad!$A$5,informatieblad!$B$5,"")))))))</f>
        <v/>
      </c>
      <c r="AS131" s="276">
        <f>IF(AQ131=AS129,(4*C131),0)</f>
        <v>0</v>
      </c>
      <c r="AT131" s="276">
        <f>IF(AR131=AS129,(4*C131),0)</f>
        <v>0</v>
      </c>
      <c r="AU131" s="276">
        <f>IF(AQ131=AU129,(4*C131),0)</f>
        <v>0</v>
      </c>
      <c r="AV131" s="274">
        <f>IF(AR131=AU129,(4*C131),0)</f>
        <v>0</v>
      </c>
    </row>
    <row r="132" spans="1:48" ht="5.0999999999999996" customHeight="1" thickBot="1">
      <c r="A132" s="145"/>
      <c r="B132" s="122"/>
      <c r="C132" s="122"/>
      <c r="D132" s="122"/>
      <c r="E132" s="122"/>
      <c r="F132" s="122"/>
      <c r="G132" s="122"/>
      <c r="H132" s="122"/>
      <c r="I132" s="146"/>
    </row>
    <row r="133" spans="1:48" ht="15.75" customHeight="1" thickBot="1">
      <c r="A133" s="445"/>
      <c r="B133" s="96"/>
      <c r="C133" s="96"/>
      <c r="D133" s="96"/>
      <c r="E133" s="167">
        <f>C133</f>
        <v>0</v>
      </c>
      <c r="F133" s="177">
        <f>(B133&gt;0)*$I$10</f>
        <v>0</v>
      </c>
      <c r="G133" s="177">
        <f>(B133&gt;0)*$I$11</f>
        <v>0</v>
      </c>
      <c r="H133" s="177">
        <f>(B133&gt;0)*$I$12</f>
        <v>0</v>
      </c>
      <c r="I133" s="178"/>
      <c r="J133" s="345" t="s">
        <v>20</v>
      </c>
      <c r="K133" s="83"/>
      <c r="L133" s="97" t="s">
        <v>14</v>
      </c>
      <c r="M133" s="98" t="s">
        <v>27</v>
      </c>
      <c r="N133" s="98" t="s">
        <v>28</v>
      </c>
      <c r="O133" s="98" t="s">
        <v>27</v>
      </c>
      <c r="P133" s="98" t="s">
        <v>28</v>
      </c>
      <c r="Q133" s="98" t="s">
        <v>29</v>
      </c>
      <c r="R133" s="66" t="s">
        <v>30</v>
      </c>
      <c r="S133" s="153" t="s">
        <v>31</v>
      </c>
      <c r="T133" s="153"/>
      <c r="U133" s="153"/>
      <c r="V133" s="154" t="s">
        <v>83</v>
      </c>
      <c r="W133" s="100" t="s">
        <v>83</v>
      </c>
      <c r="X133" s="100" t="s">
        <v>83</v>
      </c>
      <c r="Y133" s="100" t="s">
        <v>33</v>
      </c>
      <c r="Z133" s="100" t="s">
        <v>34</v>
      </c>
      <c r="AA133" s="98" t="s">
        <v>32</v>
      </c>
      <c r="AB133" s="98" t="s">
        <v>32</v>
      </c>
      <c r="AC133" s="98" t="s">
        <v>51</v>
      </c>
      <c r="AD133" s="101" t="s">
        <v>36</v>
      </c>
      <c r="AF133" s="97" t="str">
        <f>informatieblad!$A$6</f>
        <v>FL20</v>
      </c>
      <c r="AG133" s="99"/>
      <c r="AH133" s="97" t="str">
        <f>informatieblad!$A$7</f>
        <v>FL30</v>
      </c>
      <c r="AI133" s="66"/>
      <c r="AJ133" s="99" t="str">
        <f>informatieblad!$A$8</f>
        <v>FL40</v>
      </c>
      <c r="AK133" s="66"/>
      <c r="AL133" s="97" t="str">
        <f>informatieblad!$A$5</f>
        <v>none</v>
      </c>
      <c r="AM133" s="264"/>
      <c r="AO133" s="266" t="s">
        <v>37</v>
      </c>
      <c r="AQ133" s="269" t="s">
        <v>38</v>
      </c>
      <c r="AR133" s="272"/>
      <c r="AS133" s="272">
        <f>informatieblad!$B$3</f>
        <v>0</v>
      </c>
      <c r="AT133" s="272">
        <f>informatieblad!$B$3</f>
        <v>0</v>
      </c>
      <c r="AU133" s="272">
        <f>informatieblad!$B$4</f>
        <v>0</v>
      </c>
      <c r="AV133" s="264">
        <f>informatieblad!$B$4</f>
        <v>0</v>
      </c>
    </row>
    <row r="134" spans="1:48" ht="15.75" customHeight="1">
      <c r="A134" s="467"/>
      <c r="B134" s="479" t="str">
        <f>IF($C135&gt;0,IF(MAX(B133:C133)&lt;informatieblad!$Q$4,informatieblad!$P$3,IF(MAX(B133:C133)&gt;informatieblad!$R$4,informatieblad!$P$5,informatieblad!$P$4)),"")</f>
        <v/>
      </c>
      <c r="C134" s="480"/>
      <c r="D134" s="479" t="str">
        <f>IF($C135&gt;0,IF(MAX(D133:E133)&lt;informatieblad!$Q$4,informatieblad!$P$3,IF(MAX(D133:E133)&gt;informatieblad!$R$4,informatieblad!$P$5,informatieblad!$P$4)),"")</f>
        <v/>
      </c>
      <c r="E134" s="480"/>
      <c r="F134" s="173" t="str">
        <f>A133&amp;"-"&amp;informatieblad!$B$14&amp;"-"&amp;B133&amp;"-"&amp;C133&amp;"-"&amp;D133&amp;"-"&amp;E133&amp;"-"&amp;F133&amp;"-"&amp;G133&amp;"-"&amp;H133&amp;"-"&amp;I133&amp;"-"&amp;B134&amp;"-"&amp;D134&amp;"-"&amp;F135</f>
        <v>-RctB----0-0-0-0----Options None</v>
      </c>
      <c r="G134" s="174"/>
      <c r="H134" s="179"/>
      <c r="I134" s="175"/>
      <c r="J134" s="83"/>
      <c r="K134" s="83"/>
      <c r="L134" s="103">
        <f>A133</f>
        <v>0</v>
      </c>
      <c r="M134" s="104" t="s">
        <v>39</v>
      </c>
      <c r="N134" s="104" t="s">
        <v>39</v>
      </c>
      <c r="O134" s="104" t="s">
        <v>40</v>
      </c>
      <c r="P134" s="104" t="s">
        <v>40</v>
      </c>
      <c r="Q134" s="104" t="s">
        <v>40</v>
      </c>
      <c r="R134" s="105"/>
      <c r="S134" s="155" t="s">
        <v>27</v>
      </c>
      <c r="T134" s="155" t="s">
        <v>40</v>
      </c>
      <c r="U134" s="155" t="s">
        <v>41</v>
      </c>
      <c r="V134" s="156" t="s">
        <v>111</v>
      </c>
      <c r="W134" s="104" t="s">
        <v>112</v>
      </c>
      <c r="X134" s="107" t="s">
        <v>113</v>
      </c>
      <c r="Y134" s="107"/>
      <c r="Z134" s="107"/>
      <c r="AA134" s="104" t="s">
        <v>40</v>
      </c>
      <c r="AB134" s="104" t="s">
        <v>41</v>
      </c>
      <c r="AC134" s="108"/>
      <c r="AD134" s="109"/>
      <c r="AF134" s="262" t="str">
        <f>informatieblad!$A$2</f>
        <v>FL20 loose</v>
      </c>
      <c r="AG134" s="263"/>
      <c r="AH134" s="262" t="str">
        <f>informatieblad!$A$3</f>
        <v>FL30 loose</v>
      </c>
      <c r="AI134" s="105"/>
      <c r="AJ134" s="263" t="str">
        <f>informatieblad!$A$4</f>
        <v>FL40 loose</v>
      </c>
      <c r="AK134" s="105"/>
      <c r="AL134" s="265"/>
      <c r="AM134" s="105"/>
      <c r="AN134" s="83" t="str">
        <f>'UC mounting materials '!$B$10</f>
        <v>Rail 30x15</v>
      </c>
      <c r="AO134" s="327">
        <f>IF(Y135&lt;1000,(Y135+100),0)*C135</f>
        <v>0</v>
      </c>
      <c r="AQ134" s="265" t="s">
        <v>47</v>
      </c>
      <c r="AR134" s="106" t="s">
        <v>48</v>
      </c>
      <c r="AS134" s="83" t="s">
        <v>23</v>
      </c>
      <c r="AT134" s="83" t="s">
        <v>23</v>
      </c>
      <c r="AU134" s="83" t="s">
        <v>23</v>
      </c>
      <c r="AV134" s="273" t="s">
        <v>23</v>
      </c>
    </row>
    <row r="135" spans="1:48" ht="15.75" customHeight="1" thickBot="1">
      <c r="A135" s="468"/>
      <c r="B135" s="92" t="s">
        <v>23</v>
      </c>
      <c r="C135" s="110"/>
      <c r="D135" s="94">
        <f>C135*N135</f>
        <v>0</v>
      </c>
      <c r="E135" s="141" t="s">
        <v>24</v>
      </c>
      <c r="F135" s="451" t="s">
        <v>25</v>
      </c>
      <c r="G135" s="452"/>
      <c r="H135" s="452"/>
      <c r="I135" s="453"/>
      <c r="J135" s="176"/>
      <c r="K135" s="176"/>
      <c r="L135" s="111"/>
      <c r="M135" s="112">
        <f>(((((2*(B133+C133))*(D133+G133+F133))+((2*(D133+E133))*(B133+H133+F133)))/90)*I133)/1000000</f>
        <v>0</v>
      </c>
      <c r="N135" s="112">
        <f>((IF(M135&lt;=informatieblad!$I$14,informatieblad!$I$14,IF(M135&gt;=informatieblad!$I$14,M135))))</f>
        <v>0.5</v>
      </c>
      <c r="O135" s="158">
        <f>(ROUND((((2*(X135+C133))*(((2*PI()*(X135+F133))*(I133/360))+H133+G133))/1000000),2))</f>
        <v>0</v>
      </c>
      <c r="P135" s="158">
        <f>((IF(O135&lt;=informatieblad!$H$14,informatieblad!$H$14,IF(O135&gt;=informatieblad!$H$14,O135))))</f>
        <v>0</v>
      </c>
      <c r="Q135" s="113">
        <f>((P135*AA135)+(P135*T135))*C135</f>
        <v>0</v>
      </c>
      <c r="R135" s="114">
        <f>((N135*AB135)+(N135*U135))*C135</f>
        <v>0</v>
      </c>
      <c r="S135" s="115" t="str">
        <f>F135</f>
        <v>Options None</v>
      </c>
      <c r="T135" s="115">
        <f>VLOOKUP(F135,informatieblad!$A$37:$D$41,2,FALSE)</f>
        <v>0</v>
      </c>
      <c r="U135" s="115">
        <f>VLOOKUP(F135,informatieblad!$A$37:$D$41,4,FALSE)</f>
        <v>0</v>
      </c>
      <c r="V135" s="180">
        <f>(MAX(B133,C133))</f>
        <v>0</v>
      </c>
      <c r="W135" s="119">
        <f>(MAX(D133,E133))</f>
        <v>0</v>
      </c>
      <c r="X135" s="119">
        <f>(MAX(B133,D133))</f>
        <v>0</v>
      </c>
      <c r="Y135" s="119">
        <f>(MAX(B133:E133))</f>
        <v>0</v>
      </c>
      <c r="Z135" s="119">
        <f>LOOKUP(Y135,informatieblad!$C$27:$C$32,informatieblad!$A$27:$A$32)</f>
        <v>0.5</v>
      </c>
      <c r="AA135" s="118">
        <f>VLOOKUP(Z135,informatieblad!$A$27:$M$32,6,FALSE)</f>
        <v>0</v>
      </c>
      <c r="AB135" s="118">
        <f>VLOOKUP(Z135,informatieblad!$A$27:$M$32,8,FALSE)</f>
        <v>45.1248</v>
      </c>
      <c r="AC135" s="120">
        <f>VLOOKUP(Z135,informatieblad!$A$27:$M$32,13,FALSE)</f>
        <v>4</v>
      </c>
      <c r="AD135" s="121">
        <f>ROUND((AC135*M135),1)</f>
        <v>0</v>
      </c>
      <c r="AF135" s="281">
        <f>IF(B134=AF133,(2*B133)+(2*C133),IF(B134=AF134,(2*B133)+(2*C133),0))*C135</f>
        <v>0</v>
      </c>
      <c r="AG135" s="261">
        <f>IF(D134=AF133,(2*D133)+(2*E133),IF(D134=AF134,(2*D133)+(2*E133),0))*C135</f>
        <v>0</v>
      </c>
      <c r="AH135" s="111">
        <f>IF(B134=AH133,(2*B133)+(2*C133),IF(B134=AH134,(2*B133)+(2*C133),0))*C135</f>
        <v>0</v>
      </c>
      <c r="AI135" s="260">
        <f>IF(D134=AH133,(2*D133)+(2*E133),IF(D134=AH134,(2*D133)+(2*E133),0))*C135</f>
        <v>0</v>
      </c>
      <c r="AJ135" s="261">
        <f>IF(B134=AJ133,(2*B133)+(2*C133),IF(B134=AJ134,(2*B133)+(2*C133),0))*C135</f>
        <v>0</v>
      </c>
      <c r="AK135" s="260">
        <f>IF(D134=AJ133,(2*D133)+(2*E133),IF(D134=AJ134,(2*D133)+(2*E133),0))*C135</f>
        <v>0</v>
      </c>
      <c r="AL135" s="111">
        <f>IF(B134=AL133,(2*B133)+(2*C133),0)*C135</f>
        <v>0</v>
      </c>
      <c r="AM135" s="260">
        <f>IF(D134=AL133,(2*D133)+(2*E133),0)*C135</f>
        <v>0</v>
      </c>
      <c r="AN135" s="83" t="str">
        <f>'UC mounting materials '!$B$11</f>
        <v>Rail 41x41</v>
      </c>
      <c r="AO135" s="268">
        <f>IF(Y135&gt;999,(Y135+100),0)*C135</f>
        <v>0</v>
      </c>
      <c r="AQ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AR135" s="275" t="str">
        <f>IF(D134=informatieblad!$A$6,informatieblad!$B$6,IF(D134=informatieblad!$A$7,informatieblad!$B$7,IF(D134=informatieblad!$A$8,informatieblad!$B$8,IF(D134=informatieblad!$A$2,informatieblad!$B$2,IF(D134=informatieblad!$A$3,informatieblad!$B$3,IF(D134=informatieblad!$A$4,informatieblad!$B$4,IF(D134=informatieblad!$A$5,informatieblad!$B$5,"")))))))</f>
        <v/>
      </c>
      <c r="AS135" s="276">
        <f>IF(AQ135=AS133,(4*C135),0)</f>
        <v>0</v>
      </c>
      <c r="AT135" s="276">
        <f>IF(AR135=AS133,(4*C135),0)</f>
        <v>0</v>
      </c>
      <c r="AU135" s="276">
        <f>IF(AQ135=AU133,(4*C135),0)</f>
        <v>0</v>
      </c>
      <c r="AV135" s="274">
        <f>IF(AR135=AU133,(4*C135),0)</f>
        <v>0</v>
      </c>
    </row>
    <row r="136" spans="1:48" ht="5.0999999999999996" customHeight="1" thickBot="1">
      <c r="A136" s="145"/>
      <c r="B136" s="122"/>
      <c r="C136" s="122"/>
      <c r="D136" s="122"/>
      <c r="E136" s="122"/>
      <c r="F136" s="122"/>
      <c r="G136" s="122"/>
      <c r="H136" s="122"/>
      <c r="I136" s="146"/>
    </row>
    <row r="137" spans="1:48" ht="15.75" customHeight="1" thickBot="1">
      <c r="A137" s="445"/>
      <c r="B137" s="96"/>
      <c r="C137" s="96"/>
      <c r="D137" s="96"/>
      <c r="E137" s="167">
        <f>C137</f>
        <v>0</v>
      </c>
      <c r="F137" s="177">
        <f>(B137&gt;0)*$I$10</f>
        <v>0</v>
      </c>
      <c r="G137" s="177">
        <f>(B137&gt;0)*$I$11</f>
        <v>0</v>
      </c>
      <c r="H137" s="177">
        <f>(B137&gt;0)*$I$12</f>
        <v>0</v>
      </c>
      <c r="I137" s="178"/>
      <c r="J137" s="345" t="s">
        <v>20</v>
      </c>
      <c r="K137" s="83"/>
      <c r="L137" s="97" t="s">
        <v>14</v>
      </c>
      <c r="M137" s="98" t="s">
        <v>27</v>
      </c>
      <c r="N137" s="98" t="s">
        <v>28</v>
      </c>
      <c r="O137" s="98" t="s">
        <v>27</v>
      </c>
      <c r="P137" s="98" t="s">
        <v>28</v>
      </c>
      <c r="Q137" s="98" t="s">
        <v>29</v>
      </c>
      <c r="R137" s="66" t="s">
        <v>30</v>
      </c>
      <c r="S137" s="153" t="s">
        <v>31</v>
      </c>
      <c r="T137" s="153"/>
      <c r="U137" s="153"/>
      <c r="V137" s="154" t="s">
        <v>83</v>
      </c>
      <c r="W137" s="100" t="s">
        <v>83</v>
      </c>
      <c r="X137" s="100" t="s">
        <v>83</v>
      </c>
      <c r="Y137" s="100" t="s">
        <v>33</v>
      </c>
      <c r="Z137" s="100" t="s">
        <v>34</v>
      </c>
      <c r="AA137" s="98" t="s">
        <v>32</v>
      </c>
      <c r="AB137" s="98" t="s">
        <v>32</v>
      </c>
      <c r="AC137" s="98" t="s">
        <v>51</v>
      </c>
      <c r="AD137" s="101" t="s">
        <v>36</v>
      </c>
      <c r="AF137" s="97" t="str">
        <f>informatieblad!$A$6</f>
        <v>FL20</v>
      </c>
      <c r="AG137" s="99"/>
      <c r="AH137" s="97" t="str">
        <f>informatieblad!$A$7</f>
        <v>FL30</v>
      </c>
      <c r="AI137" s="66"/>
      <c r="AJ137" s="99" t="str">
        <f>informatieblad!$A$8</f>
        <v>FL40</v>
      </c>
      <c r="AK137" s="66"/>
      <c r="AL137" s="97" t="str">
        <f>informatieblad!$A$5</f>
        <v>none</v>
      </c>
      <c r="AM137" s="264"/>
      <c r="AO137" s="266" t="s">
        <v>37</v>
      </c>
      <c r="AQ137" s="269" t="s">
        <v>38</v>
      </c>
      <c r="AR137" s="272"/>
      <c r="AS137" s="272">
        <f>informatieblad!$B$3</f>
        <v>0</v>
      </c>
      <c r="AT137" s="272">
        <f>informatieblad!$B$3</f>
        <v>0</v>
      </c>
      <c r="AU137" s="272">
        <f>informatieblad!$B$4</f>
        <v>0</v>
      </c>
      <c r="AV137" s="264">
        <f>informatieblad!$B$4</f>
        <v>0</v>
      </c>
    </row>
    <row r="138" spans="1:48" ht="15.75" customHeight="1">
      <c r="A138" s="467"/>
      <c r="B138" s="479" t="str">
        <f>IF($C139&gt;0,IF(MAX(B137:C137)&lt;informatieblad!$Q$4,informatieblad!$P$3,IF(MAX(B137:C137)&gt;informatieblad!$R$4,informatieblad!$P$5,informatieblad!$P$4)),"")</f>
        <v/>
      </c>
      <c r="C138" s="480"/>
      <c r="D138" s="479" t="str">
        <f>IF($C139&gt;0,IF(MAX(D137:E137)&lt;informatieblad!$Q$4,informatieblad!$P$3,IF(MAX(D137:E137)&gt;informatieblad!$R$4,informatieblad!$P$5,informatieblad!$P$4)),"")</f>
        <v/>
      </c>
      <c r="E138" s="480"/>
      <c r="F138" s="173" t="str">
        <f>A137&amp;"-"&amp;informatieblad!$B$14&amp;"-"&amp;B137&amp;"-"&amp;C137&amp;"-"&amp;D137&amp;"-"&amp;E137&amp;"-"&amp;F137&amp;"-"&amp;G137&amp;"-"&amp;H137&amp;"-"&amp;I137&amp;"-"&amp;B138&amp;"-"&amp;D138&amp;"-"&amp;F139</f>
        <v>-RctB----0-0-0-0----Options None</v>
      </c>
      <c r="G138" s="174"/>
      <c r="H138" s="179"/>
      <c r="I138" s="175"/>
      <c r="J138" s="83"/>
      <c r="K138" s="83"/>
      <c r="L138" s="103">
        <f>A137</f>
        <v>0</v>
      </c>
      <c r="M138" s="104" t="s">
        <v>39</v>
      </c>
      <c r="N138" s="104" t="s">
        <v>39</v>
      </c>
      <c r="O138" s="104" t="s">
        <v>40</v>
      </c>
      <c r="P138" s="104" t="s">
        <v>40</v>
      </c>
      <c r="Q138" s="104" t="s">
        <v>40</v>
      </c>
      <c r="R138" s="105"/>
      <c r="S138" s="155" t="s">
        <v>27</v>
      </c>
      <c r="T138" s="155" t="s">
        <v>40</v>
      </c>
      <c r="U138" s="155" t="s">
        <v>41</v>
      </c>
      <c r="V138" s="156" t="s">
        <v>111</v>
      </c>
      <c r="W138" s="104" t="s">
        <v>112</v>
      </c>
      <c r="X138" s="107" t="s">
        <v>113</v>
      </c>
      <c r="Y138" s="107"/>
      <c r="Z138" s="107"/>
      <c r="AA138" s="104" t="s">
        <v>40</v>
      </c>
      <c r="AB138" s="104" t="s">
        <v>41</v>
      </c>
      <c r="AC138" s="108"/>
      <c r="AD138" s="109"/>
      <c r="AF138" s="262" t="str">
        <f>informatieblad!$A$2</f>
        <v>FL20 loose</v>
      </c>
      <c r="AG138" s="263"/>
      <c r="AH138" s="262" t="str">
        <f>informatieblad!$A$3</f>
        <v>FL30 loose</v>
      </c>
      <c r="AI138" s="105"/>
      <c r="AJ138" s="263" t="str">
        <f>informatieblad!$A$4</f>
        <v>FL40 loose</v>
      </c>
      <c r="AK138" s="105"/>
      <c r="AL138" s="265"/>
      <c r="AM138" s="105"/>
      <c r="AN138" s="83" t="str">
        <f>'UC mounting materials '!$B$10</f>
        <v>Rail 30x15</v>
      </c>
      <c r="AO138" s="327">
        <f>IF(Y139&lt;1000,(Y139+100),0)*C139</f>
        <v>0</v>
      </c>
      <c r="AQ138" s="265" t="s">
        <v>47</v>
      </c>
      <c r="AR138" s="106" t="s">
        <v>48</v>
      </c>
      <c r="AS138" s="83" t="s">
        <v>23</v>
      </c>
      <c r="AT138" s="83" t="s">
        <v>23</v>
      </c>
      <c r="AU138" s="83" t="s">
        <v>23</v>
      </c>
      <c r="AV138" s="273" t="s">
        <v>23</v>
      </c>
    </row>
    <row r="139" spans="1:48" ht="15.75" customHeight="1" thickBot="1">
      <c r="A139" s="468"/>
      <c r="B139" s="92" t="s">
        <v>23</v>
      </c>
      <c r="C139" s="110"/>
      <c r="D139" s="94">
        <f>C139*N139</f>
        <v>0</v>
      </c>
      <c r="E139" s="141" t="s">
        <v>24</v>
      </c>
      <c r="F139" s="451" t="s">
        <v>25</v>
      </c>
      <c r="G139" s="452"/>
      <c r="H139" s="452"/>
      <c r="I139" s="453"/>
      <c r="J139" s="176"/>
      <c r="K139" s="176"/>
      <c r="L139" s="111"/>
      <c r="M139" s="112">
        <f>(((((2*(B137+C137))*(D137+G137+F137))+((2*(D137+E137))*(B137+H137+F137)))/90)*I137)/1000000</f>
        <v>0</v>
      </c>
      <c r="N139" s="112">
        <f>((IF(M139&lt;=informatieblad!$I$14,informatieblad!$I$14,IF(M139&gt;=informatieblad!$I$14,M139))))</f>
        <v>0.5</v>
      </c>
      <c r="O139" s="158">
        <f>(ROUND((((2*(X139+C137))*(((2*PI()*(X139+F137))*(I137/360))+H137+G137))/1000000),2))</f>
        <v>0</v>
      </c>
      <c r="P139" s="158">
        <f>((IF(O139&lt;=informatieblad!$H$14,informatieblad!$H$14,IF(O139&gt;=informatieblad!$H$14,O139))))</f>
        <v>0</v>
      </c>
      <c r="Q139" s="113">
        <f>((P139*AA139)+(P139*T139))*C139</f>
        <v>0</v>
      </c>
      <c r="R139" s="114">
        <f>((N139*AB139)+(N139*U139))*C139</f>
        <v>0</v>
      </c>
      <c r="S139" s="115" t="str">
        <f>F139</f>
        <v>Options None</v>
      </c>
      <c r="T139" s="115">
        <f>VLOOKUP(F139,informatieblad!$A$37:$D$41,2,FALSE)</f>
        <v>0</v>
      </c>
      <c r="U139" s="115">
        <f>VLOOKUP(F139,informatieblad!$A$37:$D$41,4,FALSE)</f>
        <v>0</v>
      </c>
      <c r="V139" s="180">
        <f>(MAX(B137,C137))</f>
        <v>0</v>
      </c>
      <c r="W139" s="119">
        <f>(MAX(D137,E137))</f>
        <v>0</v>
      </c>
      <c r="X139" s="119">
        <f>(MAX(B137,D137))</f>
        <v>0</v>
      </c>
      <c r="Y139" s="119">
        <f>(MAX(B137:E137))</f>
        <v>0</v>
      </c>
      <c r="Z139" s="119">
        <f>LOOKUP(Y139,informatieblad!$C$27:$C$32,informatieblad!$A$27:$A$32)</f>
        <v>0.5</v>
      </c>
      <c r="AA139" s="118">
        <f>VLOOKUP(Z139,informatieblad!$A$27:$M$32,6,FALSE)</f>
        <v>0</v>
      </c>
      <c r="AB139" s="118">
        <f>VLOOKUP(Z139,informatieblad!$A$27:$M$32,8,FALSE)</f>
        <v>45.1248</v>
      </c>
      <c r="AC139" s="120">
        <f>VLOOKUP(Z139,informatieblad!$A$27:$M$32,13,FALSE)</f>
        <v>4</v>
      </c>
      <c r="AD139" s="121">
        <f>ROUND((AC139*M139),1)</f>
        <v>0</v>
      </c>
      <c r="AF139" s="281">
        <f>IF(B138=AF137,(2*B137)+(2*C137),IF(B138=AF138,(2*B137)+(2*C137),0))*C139</f>
        <v>0</v>
      </c>
      <c r="AG139" s="261">
        <f>IF(D138=AF137,(2*D137)+(2*E137),IF(D138=AF138,(2*D137)+(2*E137),0))*C139</f>
        <v>0</v>
      </c>
      <c r="AH139" s="111">
        <f>IF(B138=AH137,(2*B137)+(2*C137),IF(B138=AH138,(2*B137)+(2*C137),0))*C139</f>
        <v>0</v>
      </c>
      <c r="AI139" s="260">
        <f>IF(D138=AH137,(2*D137)+(2*E137),IF(D138=AH138,(2*D137)+(2*E137),0))*C139</f>
        <v>0</v>
      </c>
      <c r="AJ139" s="261">
        <f>IF(B138=AJ137,(2*B137)+(2*C137),IF(B138=AJ138,(2*B137)+(2*C137),0))*C139</f>
        <v>0</v>
      </c>
      <c r="AK139" s="260">
        <f>IF(D138=AJ137,(2*D137)+(2*E137),IF(D138=AJ138,(2*D137)+(2*E137),0))*C139</f>
        <v>0</v>
      </c>
      <c r="AL139" s="111">
        <f>IF(B138=AL137,(2*B137)+(2*C137),0)*C139</f>
        <v>0</v>
      </c>
      <c r="AM139" s="260">
        <f>IF(D138=AL137,(2*D137)+(2*E137),0)*C139</f>
        <v>0</v>
      </c>
      <c r="AN139" s="83" t="str">
        <f>'UC mounting materials '!$B$11</f>
        <v>Rail 41x41</v>
      </c>
      <c r="AO139" s="268">
        <f>IF(Y139&gt;999,(Y139+100),0)*C139</f>
        <v>0</v>
      </c>
      <c r="AQ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AR139" s="275" t="str">
        <f>IF(D138=informatieblad!$A$6,informatieblad!$B$6,IF(D138=informatieblad!$A$7,informatieblad!$B$7,IF(D138=informatieblad!$A$8,informatieblad!$B$8,IF(D138=informatieblad!$A$2,informatieblad!$B$2,IF(D138=informatieblad!$A$3,informatieblad!$B$3,IF(D138=informatieblad!$A$4,informatieblad!$B$4,IF(D138=informatieblad!$A$5,informatieblad!$B$5,"")))))))</f>
        <v/>
      </c>
      <c r="AS139" s="276">
        <f>IF(AQ139=AS137,(4*C139),0)</f>
        <v>0</v>
      </c>
      <c r="AT139" s="276">
        <f>IF(AR139=AS137,(4*C139),0)</f>
        <v>0</v>
      </c>
      <c r="AU139" s="276">
        <f>IF(AQ139=AU137,(4*C139),0)</f>
        <v>0</v>
      </c>
      <c r="AV139" s="274">
        <f>IF(AR139=AU137,(4*C139),0)</f>
        <v>0</v>
      </c>
    </row>
    <row r="140" spans="1:48" ht="14.25" customHeight="1" thickBot="1">
      <c r="AF140" s="277" t="s">
        <v>66</v>
      </c>
      <c r="AG140" s="278">
        <f>SUM(AF23:AG23,AF27:AG27,AF31:AG31,AF35:AG35,AF39:AG39,AF43:AG43,AF47:AG47,AF51:AG51,AF55:AG55,AF59:AG59,AF63:AG63,AF67:AG67,AF71:AG71,AF75:AG75,AF79:AG79,AF83:AG83,AF87:AG87,AF91:AG91,AF95:AG95,AF99:AG99,AF103:AG103,AF107:AG107,AF111:AG111,AF115:AG115,AF119:AG119,AF123:AG123,AF127:AG127,AF131:AG131,AF135:AG135,AF139:AG139)</f>
        <v>0</v>
      </c>
      <c r="AH140" s="277" t="s">
        <v>67</v>
      </c>
      <c r="AI140" s="278">
        <f>SUM(AH23:AI23,AH27:AI27,AH31:AI31,AH35:AI35,AH39:AI39,AH43:AI43,AH47:AI47,AH51:AI51,AH55:AI55,AH59:AI59,AH63:AI63,AH67:AI67,AH71:AI71,AH75:AI75,AH79:AI79,AH83:AI83,AH87:AI87,AH91:AI91,AH95:AI95,AH99:AI99,AH103:AI103,AH107:AI107,AH111:AI111,AH115:AI115,AH119:AI119,AH123:AI123,AH127:AI127,AH131:AI131,AH135:AI135,AH139:AI139)</f>
        <v>0</v>
      </c>
      <c r="AJ140" s="277" t="s">
        <v>68</v>
      </c>
      <c r="AK140" s="278">
        <f>SUM(AJ23:AK23,AJ27:AK27,AJ31:AK31,AJ35:AK35,AJ39:AK39,AJ43:AK43,AJ47:AK47,AJ51:AK51,AJ55:AK55,AJ59:AK59,AJ63:AK63,AJ67:AK67,AJ71:AK71,AJ75:AK75,AJ79:AK79,AJ83:AK83,AJ87:AK87,AJ91:AK91,AJ95:AK95,AJ99:AK99,AJ103:AK103,AJ107:AK107,AJ111:AK111,AJ115:AK115,AJ119:AK119,AJ123:AK123,AJ127:AK127,AJ131:AK131,AJ135:AK135,AJ139:AK139)</f>
        <v>0</v>
      </c>
      <c r="AL140" s="277" t="s">
        <v>69</v>
      </c>
      <c r="AM140" s="278">
        <f>SUM(AL23:AM23,AL27:AM27,AL31:AM31,AL35:AM35,AL39:AM39,AL43:AM43,AL47:AM47,AL51:AM51,AL55:AM55,AL59:AM59,AL63:AM63,AL67:AM67,AL71:AM71,AL75:AM75,AL79:AM79,AL83:AM83,AL87:AM87,AL91:AM91,AL95:AM95,AL99:AM99,AL103:AM103,AL107:AM107,AL111:AM111,AL115:AM115,AL119:AM119,AL123:AM123,AL127:AM127,AL131:AM131,AL135:AM135,AL139:AM139)</f>
        <v>0</v>
      </c>
      <c r="AO140" s="131"/>
      <c r="AQ140" s="83"/>
      <c r="AR140" s="83"/>
      <c r="AS140" s="277" t="s">
        <v>70</v>
      </c>
      <c r="AT140" s="278">
        <f>SUM(AS23:AT23,AS27:AT27,AS31:AT31,AS35:AT35,AS39:AT39,AS43:AT43,AS47:AT47,AS51:AT51,AS55:AT55,AS59:AT59,AS63:AT63,AS67:AT67,AS71:AT71,AS75:AT75,AS79:AT79,AS83:AT83,AS87:AT87,AS91:AT91,AS95:AT95,AS99:AT99,AS103:AT103,AS107:AT107,AS111:AT111,AS115:AT115,AS119:AT119,AS123:AT123,AS127:AT127,AS131:AT131,AS135:AT135,AS139:AT139)</f>
        <v>0</v>
      </c>
      <c r="AU140" s="277" t="s">
        <v>71</v>
      </c>
      <c r="AV140" s="278">
        <f>SUM(AU23:AV23,AU27:AV27,AU31:AV31,AU35:AV35,AU39:AV39,AU43:AV43,AU47:AV47,AU51:AV51,AU55:AV55,AU59:AV59,AU63:AV63,AU67:AV67,AU71:AV71,AU75:AV75,AU79:AV79,AU83:AV83,AU87:AV87,AU91:AV91,AU95:AV95,AU99:AV99,AU103:AV103,AU107:AV107,AU111:AV111,AU115:AV115,AU119:AV119,AU123:AV123,AU127:AV127,AU131:AV131,AU135:AV135,AU139:AV139)</f>
        <v>0</v>
      </c>
    </row>
    <row r="141" spans="1:48" ht="14.25" customHeight="1">
      <c r="AN141" s="284" t="str">
        <f>'UC mounting materials '!$B$10</f>
        <v>Rail 30x15</v>
      </c>
      <c r="AO141" s="285" t="str">
        <f>'UC mounting materials '!$B$11</f>
        <v>Rail 41x41</v>
      </c>
    </row>
    <row r="142" spans="1:48" ht="15" customHeight="1" thickBot="1">
      <c r="AN142" s="111">
        <f>SUM(AO22,AO26,AO30,AO34,AO38,AO42,AO46,AO50,AO54,AO58,AO62,AO66,AO70,AO74,AO78,AO82,AO86,AO90,AO94,AO98,AO102,AO106,AO110,AO114,AO118,AO122,AO126,AO130,AO134,AO138)</f>
        <v>0</v>
      </c>
      <c r="AO142" s="283">
        <f>SUM(AO23,AO27,AO31,AO35,AO39,AO43,AO47,AO51,AO55,AO59,AO63,AO67,AO71,AO75,AO79,AO83,AO87,AO91,AO95,AO99,AO103,AO107,AO111,AO115,AO119,AO123,AO127,AO131,AO135,AO139)</f>
        <v>0</v>
      </c>
    </row>
  </sheetData>
  <sheetProtection algorithmName="SHA-512" hashValue="usLwcc1KNorX5MJ0Y2O9MdFHhsGxjlJ3O1ehNHag1HtHSAZ3c7e90myYxm0nrJ2HbMCHyFZBbUH8e6lRYdJwXw==" saltValue="m3SEGwrZ90Z3ysDjpFxk1g==" spinCount="100000" sheet="1" objects="1" scenarios="1" formatCells="0" formatColumns="0"/>
  <mergeCells count="124">
    <mergeCell ref="A121:A123"/>
    <mergeCell ref="B122:C122"/>
    <mergeCell ref="D122:E122"/>
    <mergeCell ref="F123:I123"/>
    <mergeCell ref="A125:A127"/>
    <mergeCell ref="B126:C126"/>
    <mergeCell ref="D126:E126"/>
    <mergeCell ref="F127:I127"/>
    <mergeCell ref="A137:A139"/>
    <mergeCell ref="B138:C138"/>
    <mergeCell ref="D138:E138"/>
    <mergeCell ref="F139:I139"/>
    <mergeCell ref="A129:A131"/>
    <mergeCell ref="B130:C130"/>
    <mergeCell ref="D130:E130"/>
    <mergeCell ref="F131:I131"/>
    <mergeCell ref="A133:A135"/>
    <mergeCell ref="B134:C134"/>
    <mergeCell ref="D134:E134"/>
    <mergeCell ref="F135:I135"/>
    <mergeCell ref="A113:A115"/>
    <mergeCell ref="B114:C114"/>
    <mergeCell ref="D114:E114"/>
    <mergeCell ref="F115:I115"/>
    <mergeCell ref="A117:A119"/>
    <mergeCell ref="B118:C118"/>
    <mergeCell ref="D118:E118"/>
    <mergeCell ref="F119:I119"/>
    <mergeCell ref="A105:A107"/>
    <mergeCell ref="B106:C106"/>
    <mergeCell ref="D106:E106"/>
    <mergeCell ref="F107:I107"/>
    <mergeCell ref="A109:A111"/>
    <mergeCell ref="B110:C110"/>
    <mergeCell ref="D110:E110"/>
    <mergeCell ref="F111:I111"/>
    <mergeCell ref="A97:A99"/>
    <mergeCell ref="B98:C98"/>
    <mergeCell ref="D98:E98"/>
    <mergeCell ref="F99:I99"/>
    <mergeCell ref="A101:A103"/>
    <mergeCell ref="B102:C102"/>
    <mergeCell ref="D102:E102"/>
    <mergeCell ref="F103:I103"/>
    <mergeCell ref="A89:A91"/>
    <mergeCell ref="B90:C90"/>
    <mergeCell ref="D90:E90"/>
    <mergeCell ref="F91:I91"/>
    <mergeCell ref="A93:A95"/>
    <mergeCell ref="B94:C94"/>
    <mergeCell ref="D94:E94"/>
    <mergeCell ref="F95:I95"/>
    <mergeCell ref="A81:A83"/>
    <mergeCell ref="B82:C82"/>
    <mergeCell ref="D82:E82"/>
    <mergeCell ref="F83:I83"/>
    <mergeCell ref="A85:A87"/>
    <mergeCell ref="B86:C86"/>
    <mergeCell ref="D86:E86"/>
    <mergeCell ref="F87:I87"/>
    <mergeCell ref="A73:A75"/>
    <mergeCell ref="B74:C74"/>
    <mergeCell ref="D74:E74"/>
    <mergeCell ref="F75:I75"/>
    <mergeCell ref="A77:A79"/>
    <mergeCell ref="B78:C78"/>
    <mergeCell ref="D78:E78"/>
    <mergeCell ref="F79:I79"/>
    <mergeCell ref="A65:A67"/>
    <mergeCell ref="B66:C66"/>
    <mergeCell ref="D66:E66"/>
    <mergeCell ref="F67:I67"/>
    <mergeCell ref="A69:A71"/>
    <mergeCell ref="B70:C70"/>
    <mergeCell ref="D70:E70"/>
    <mergeCell ref="F71:I71"/>
    <mergeCell ref="A57:A59"/>
    <mergeCell ref="B58:C58"/>
    <mergeCell ref="D58:E58"/>
    <mergeCell ref="F59:I59"/>
    <mergeCell ref="A61:A63"/>
    <mergeCell ref="B62:C62"/>
    <mergeCell ref="D62:E62"/>
    <mergeCell ref="F63:I63"/>
    <mergeCell ref="D54:E54"/>
    <mergeCell ref="F55:I55"/>
    <mergeCell ref="A53:A55"/>
    <mergeCell ref="B54:C54"/>
    <mergeCell ref="A49:A51"/>
    <mergeCell ref="B50:C50"/>
    <mergeCell ref="D50:E50"/>
    <mergeCell ref="F51:I51"/>
    <mergeCell ref="A41:A43"/>
    <mergeCell ref="B42:C42"/>
    <mergeCell ref="D42:E42"/>
    <mergeCell ref="F43:I43"/>
    <mergeCell ref="A45:A47"/>
    <mergeCell ref="B46:C46"/>
    <mergeCell ref="D46:E46"/>
    <mergeCell ref="F47:I47"/>
    <mergeCell ref="A37:A39"/>
    <mergeCell ref="B38:C38"/>
    <mergeCell ref="D38:E38"/>
    <mergeCell ref="F39:I39"/>
    <mergeCell ref="F27:I27"/>
    <mergeCell ref="A29:A31"/>
    <mergeCell ref="B30:C30"/>
    <mergeCell ref="D30:E30"/>
    <mergeCell ref="F31:I31"/>
    <mergeCell ref="A25:A27"/>
    <mergeCell ref="B26:C26"/>
    <mergeCell ref="D26:E26"/>
    <mergeCell ref="A17:A19"/>
    <mergeCell ref="B18:C18"/>
    <mergeCell ref="D18:E18"/>
    <mergeCell ref="F19:I19"/>
    <mergeCell ref="A21:A23"/>
    <mergeCell ref="B22:C22"/>
    <mergeCell ref="D22:E22"/>
    <mergeCell ref="F23:I23"/>
    <mergeCell ref="A33:A35"/>
    <mergeCell ref="B34:C34"/>
    <mergeCell ref="D34:E34"/>
    <mergeCell ref="F35:I35"/>
  </mergeCells>
  <phoneticPr fontId="3" type="noConversion"/>
  <conditionalFormatting sqref="I17">
    <cfRule type="cellIs" dxfId="152" priority="19" operator="greaterThan">
      <formula>90</formula>
    </cfRule>
  </conditionalFormatting>
  <conditionalFormatting sqref="I21 K21 I57 K57 I93 K93">
    <cfRule type="cellIs" dxfId="151" priority="18" operator="greaterThan">
      <formula>90</formula>
    </cfRule>
  </conditionalFormatting>
  <conditionalFormatting sqref="I25 K25 I61 K61 I97 K97">
    <cfRule type="cellIs" dxfId="150" priority="9" operator="greaterThan">
      <formula>90</formula>
    </cfRule>
  </conditionalFormatting>
  <conditionalFormatting sqref="I29 K29 I65 K65 I101 K101">
    <cfRule type="cellIs" dxfId="149" priority="8" operator="greaterThan">
      <formula>90</formula>
    </cfRule>
  </conditionalFormatting>
  <conditionalFormatting sqref="I33 K33 I69 K69 I105 K105">
    <cfRule type="cellIs" dxfId="148" priority="7" operator="greaterThan">
      <formula>90</formula>
    </cfRule>
  </conditionalFormatting>
  <conditionalFormatting sqref="I37 K37 I73 K73 I109 K109">
    <cfRule type="cellIs" dxfId="147" priority="6" operator="greaterThan">
      <formula>90</formula>
    </cfRule>
  </conditionalFormatting>
  <conditionalFormatting sqref="I41 K41 I77 K77 I113 K113">
    <cfRule type="cellIs" dxfId="146" priority="5" operator="greaterThan">
      <formula>90</formula>
    </cfRule>
  </conditionalFormatting>
  <conditionalFormatting sqref="I45 K45 I81 K81 I117 K117 I129 K129">
    <cfRule type="cellIs" dxfId="145" priority="4" operator="greaterThan">
      <formula>90</formula>
    </cfRule>
  </conditionalFormatting>
  <conditionalFormatting sqref="I49 K49 I85 K85 I121 K121 I133 K133">
    <cfRule type="cellIs" dxfId="144" priority="2" operator="greaterThan">
      <formula>90</formula>
    </cfRule>
  </conditionalFormatting>
  <conditionalFormatting sqref="I53 K53 I89 K89 I125 K125 I137 K137">
    <cfRule type="cellIs" dxfId="143" priority="1" operator="greaterThan">
      <formula>90</formula>
    </cfRule>
  </conditionalFormatting>
  <dataValidations count="2">
    <dataValidation type="list" allowBlank="1" showInputMessage="1" showErrorMessage="1" sqref="B22:E22 B26:E26 B30:E30 B34:E34 B38:E38 B42:E42 B46:E46 B50:E50 B54:E54 B58:E58 B62:E62 B66:E66 B70:E70 B74:E74 B78:E78 B82:E82 B86:E86 B90:E90 B94:E94 B98:E98 B102:E102 B106:E106 B110:E110 B114:E114 B118:E118 B122:E122 B126:E126 B130:E130 B134:E134 B138:E138" xr:uid="{788794F1-A281-4EE9-9B6C-36A9C1DBF814}">
      <formula1>Options_flanges</formula1>
    </dataValidation>
    <dataValidation type="list" allowBlank="1" showInputMessage="1" showErrorMessage="1" sqref="F19:I19 F23:I23 F27:I27 F31:I31 F35:I35 F39:I39 F43:I43 F47:I47 F51:I51 F55:I55 F87:I87 F59:I59 F63:I63 F67:I67 F71:I71 F75:I75 F79:I79 F83:I83 F91:I91 F119:I119 F123:I123 F95:I95 F99:I99 F103:I103 F107:I107 F111:I111 F115:I115 F127:I127 F131:I131 F135:I135 F139:I139" xr:uid="{8D43BFDF-89C2-4C1A-8CF3-3C52EF46B6DC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2A4E-7BB8-44D9-8E6D-16F3413426A4}">
  <sheetPr codeName="Blad3">
    <tabColor rgb="FFFFFF00"/>
  </sheetPr>
  <dimension ref="A1:BA146"/>
  <sheetViews>
    <sheetView showGridLines="0" showZeros="0" view="pageBreakPreview" zoomScaleNormal="85" zoomScaleSheetLayoutView="100" workbookViewId="0">
      <pane xSplit="12" ySplit="19" topLeftCell="BB20" activePane="bottomRight" state="frozen"/>
      <selection pane="bottomRight" activeCell="A25" sqref="A25:A27"/>
      <selection pane="bottomLeft" activeCell="A20" sqref="A20"/>
      <selection pane="topRight" activeCell="M1" sqref="M1"/>
    </sheetView>
  </sheetViews>
  <sheetFormatPr defaultColWidth="9.140625" defaultRowHeight="14.25"/>
  <cols>
    <col min="1" max="1" width="7.7109375" style="64" customWidth="1"/>
    <col min="2" max="2" width="9.7109375" style="64" customWidth="1"/>
    <col min="3" max="11" width="8.7109375" style="64" customWidth="1"/>
    <col min="12" max="12" width="50.7109375" style="64" customWidth="1"/>
    <col min="13" max="13" width="16.7109375" style="64" hidden="1" customWidth="1"/>
    <col min="14" max="21" width="0" style="64" hidden="1" customWidth="1"/>
    <col min="22" max="22" width="10.42578125" style="64" hidden="1" customWidth="1"/>
    <col min="23" max="23" width="25.5703125" style="64" hidden="1" customWidth="1"/>
    <col min="24" max="24" width="22.42578125" style="64" hidden="1" customWidth="1"/>
    <col min="25" max="25" width="21" style="64" hidden="1" customWidth="1"/>
    <col min="26" max="26" width="24.85546875" style="64" hidden="1" customWidth="1"/>
    <col min="27" max="27" width="20.28515625" style="64" hidden="1" customWidth="1"/>
    <col min="28" max="28" width="18.140625" style="64" hidden="1" customWidth="1"/>
    <col min="29" max="31" width="15.28515625" style="64" hidden="1" customWidth="1"/>
    <col min="32" max="32" width="30.28515625" style="64" hidden="1" customWidth="1"/>
    <col min="33" max="33" width="24" style="64" hidden="1" customWidth="1"/>
    <col min="34" max="34" width="23.7109375" style="64" hidden="1" customWidth="1"/>
    <col min="35" max="35" width="19.140625" style="64" hidden="1" customWidth="1"/>
    <col min="36" max="37" width="12.85546875" style="64" hidden="1" customWidth="1"/>
    <col min="38" max="39" width="9.42578125" style="64" hidden="1" customWidth="1"/>
    <col min="40" max="40" width="0" style="64" hidden="1" customWidth="1"/>
    <col min="41" max="43" width="14.28515625" style="64" hidden="1" customWidth="1"/>
    <col min="44" max="44" width="13.140625" style="64" hidden="1" customWidth="1"/>
    <col min="45" max="45" width="1.7109375" style="64" hidden="1" customWidth="1"/>
    <col min="46" max="46" width="14.85546875" style="64" hidden="1" customWidth="1"/>
    <col min="47" max="47" width="1.7109375" style="64" hidden="1" customWidth="1"/>
    <col min="48" max="48" width="12.28515625" style="64" hidden="1" customWidth="1"/>
    <col min="49" max="49" width="14" style="64" hidden="1" customWidth="1"/>
    <col min="50" max="50" width="1.7109375" style="64" hidden="1" customWidth="1"/>
    <col min="51" max="51" width="14.28515625" style="64" hidden="1" customWidth="1"/>
    <col min="52" max="52" width="11" style="64" hidden="1" customWidth="1"/>
    <col min="53" max="53" width="12.5703125" style="64" hidden="1" customWidth="1"/>
    <col min="54" max="16384" width="9.140625" style="64"/>
  </cols>
  <sheetData>
    <row r="1" spans="1:25">
      <c r="A1" s="61"/>
      <c r="B1" s="62"/>
      <c r="C1" s="62"/>
      <c r="D1" s="62"/>
      <c r="E1" s="62"/>
      <c r="F1" s="62"/>
      <c r="G1" s="62"/>
      <c r="H1" s="62"/>
      <c r="I1" s="62"/>
      <c r="J1" s="62"/>
      <c r="K1" s="63"/>
      <c r="U1" s="65" t="str">
        <f>informatieblad!$F$12&amp;" "&amp;informatieblad!$D$15</f>
        <v>Total aantal of Verlopen Recht-Rond  (RctRR)</v>
      </c>
      <c r="V1" s="62"/>
      <c r="W1" s="62"/>
      <c r="X1" s="62"/>
      <c r="Y1" s="66">
        <f>+C27+C31+C35+C39+C43+C47+C51+C55+C59+C63+C67+C71+C75+C79+C83+C87+C91+C95+C99+C103+C107+C111+C115+C119+C123+C127+C131+C135+C139+C143</f>
        <v>0</v>
      </c>
    </row>
    <row r="2" spans="1:25">
      <c r="A2" s="67"/>
      <c r="K2" s="68"/>
      <c r="U2" s="69" t="str">
        <f>informatieblad!$F$13</f>
        <v>Total purchase price</v>
      </c>
      <c r="Y2" s="343">
        <f>Z27+Z31+Z35+Z39+Z43+Z47+Z51+Z55+Z59+Z63+Z67+Z71+Z75+Z79+Z83+Z87+Z91+Z95+Z99+Z103+Z107+Z111+Z115+Z119+Z123+Z127+Z131+Z135+Z139+Z143</f>
        <v>0</v>
      </c>
    </row>
    <row r="3" spans="1:25" ht="15" thickBot="1">
      <c r="A3" s="67"/>
      <c r="K3" s="68"/>
      <c r="U3" s="71" t="str">
        <f>informatieblad!$F$14</f>
        <v>Total sales price</v>
      </c>
      <c r="V3" s="72"/>
      <c r="W3" s="72"/>
      <c r="X3" s="72"/>
      <c r="Y3" s="238">
        <f>AA27+AA31+AA35+AA39+AA43+AA47+AA51+AA55+AA59+AA63+AA67+AA71+AA75+AA79+AA83+AA87+AA91+AA95+AA99+AA103+AA107+AA111+AA115+AA119+AA123+AA127+AA131+AA135+AA139+AA143</f>
        <v>0</v>
      </c>
    </row>
    <row r="4" spans="1:25">
      <c r="A4" s="67"/>
      <c r="F4" s="133"/>
      <c r="G4" s="133"/>
      <c r="K4" s="433" t="str">
        <f>informatieblad!D15</f>
        <v>Verlopen Recht-Rond  (RctRR)</v>
      </c>
    </row>
    <row r="5" spans="1:25">
      <c r="A5" s="67"/>
      <c r="K5" s="68"/>
    </row>
    <row r="6" spans="1:25">
      <c r="A6" s="67"/>
      <c r="K6" s="68"/>
    </row>
    <row r="7" spans="1:25">
      <c r="A7" s="67"/>
      <c r="K7" s="68"/>
    </row>
    <row r="8" spans="1:25">
      <c r="A8" s="67"/>
      <c r="K8" s="68"/>
    </row>
    <row r="9" spans="1:25">
      <c r="A9" s="67"/>
      <c r="K9" s="68"/>
    </row>
    <row r="10" spans="1:25">
      <c r="A10" s="67"/>
      <c r="I10" s="164" t="s">
        <v>114</v>
      </c>
      <c r="K10" s="181">
        <v>30</v>
      </c>
    </row>
    <row r="11" spans="1:25">
      <c r="A11" s="67"/>
      <c r="I11" s="164" t="s">
        <v>115</v>
      </c>
      <c r="K11" s="181">
        <v>50</v>
      </c>
    </row>
    <row r="12" spans="1:25">
      <c r="A12" s="67"/>
      <c r="K12" s="68"/>
    </row>
    <row r="13" spans="1:25">
      <c r="A13" s="67"/>
      <c r="K13" s="68"/>
    </row>
    <row r="14" spans="1:25">
      <c r="A14" s="67"/>
      <c r="K14" s="68"/>
    </row>
    <row r="15" spans="1:25">
      <c r="A15" s="67"/>
      <c r="K15" s="68"/>
    </row>
    <row r="16" spans="1:25">
      <c r="A16" s="67"/>
      <c r="K16" s="68"/>
    </row>
    <row r="17" spans="1:53">
      <c r="A17" s="67"/>
      <c r="K17" s="68"/>
    </row>
    <row r="18" spans="1:53" ht="15" thickBot="1">
      <c r="A18" s="76"/>
      <c r="B18" s="72"/>
      <c r="C18" s="72"/>
      <c r="D18" s="72"/>
      <c r="E18" s="72"/>
      <c r="F18" s="182"/>
      <c r="G18" s="182"/>
      <c r="H18" s="72"/>
      <c r="I18" s="72"/>
      <c r="J18" s="72"/>
      <c r="K18" s="77"/>
    </row>
    <row r="19" spans="1:53" ht="5.0999999999999996" customHeight="1" thickBot="1">
      <c r="A19" s="67"/>
      <c r="K19" s="68"/>
    </row>
    <row r="20" spans="1:53" ht="15" thickBot="1">
      <c r="A20" s="78" t="s">
        <v>14</v>
      </c>
      <c r="B20" s="79" t="s">
        <v>15</v>
      </c>
      <c r="C20" s="79" t="s">
        <v>16</v>
      </c>
      <c r="D20" s="79" t="s">
        <v>76</v>
      </c>
      <c r="E20" s="79" t="s">
        <v>77</v>
      </c>
      <c r="F20" s="79" t="s">
        <v>78</v>
      </c>
      <c r="G20" s="79" t="s">
        <v>79</v>
      </c>
      <c r="H20" s="79" t="s">
        <v>116</v>
      </c>
      <c r="I20" s="79" t="s">
        <v>117</v>
      </c>
      <c r="J20" s="79" t="s">
        <v>118</v>
      </c>
      <c r="K20" s="125" t="s">
        <v>17</v>
      </c>
      <c r="L20" s="280" t="s">
        <v>18</v>
      </c>
    </row>
    <row r="21" spans="1:53" ht="15" thickBot="1">
      <c r="A21" s="488" t="s">
        <v>19</v>
      </c>
      <c r="B21" s="183">
        <v>600</v>
      </c>
      <c r="C21" s="183">
        <v>400</v>
      </c>
      <c r="D21" s="183">
        <v>245</v>
      </c>
      <c r="E21" s="183">
        <v>177.5</v>
      </c>
      <c r="F21" s="184">
        <v>177.5</v>
      </c>
      <c r="G21" s="183">
        <v>77.5</v>
      </c>
      <c r="H21" s="184">
        <v>77.5</v>
      </c>
      <c r="I21" s="184">
        <v>30</v>
      </c>
      <c r="J21" s="184">
        <v>50</v>
      </c>
      <c r="K21" s="130">
        <v>337</v>
      </c>
      <c r="L21" s="345" t="s">
        <v>20</v>
      </c>
      <c r="U21" s="131"/>
      <c r="V21" s="131"/>
      <c r="W21" s="131"/>
      <c r="X21" s="131"/>
      <c r="Y21" s="131"/>
      <c r="Z21" s="131"/>
      <c r="AA21" s="131"/>
      <c r="AB21" s="133"/>
      <c r="AC21" s="133"/>
      <c r="AD21" s="133"/>
      <c r="AE21" s="133"/>
      <c r="AF21" s="131"/>
      <c r="AG21" s="131"/>
      <c r="AH21" s="133"/>
      <c r="AI21" s="133"/>
      <c r="AJ21" s="131"/>
      <c r="AK21" s="131"/>
      <c r="AL21" s="131"/>
      <c r="AM21" s="131"/>
    </row>
    <row r="22" spans="1:53" ht="15">
      <c r="A22" s="489"/>
      <c r="B22" s="486" t="s">
        <v>80</v>
      </c>
      <c r="C22" s="487"/>
      <c r="D22" s="304" t="s">
        <v>119</v>
      </c>
      <c r="E22" s="88"/>
      <c r="F22" s="88"/>
      <c r="G22" s="88"/>
      <c r="H22" s="490" t="s">
        <v>82</v>
      </c>
      <c r="I22" s="519"/>
      <c r="J22" s="519"/>
      <c r="K22" s="185">
        <v>337</v>
      </c>
      <c r="L22" s="83"/>
      <c r="U22" s="83"/>
      <c r="V22" s="136"/>
      <c r="W22" s="136"/>
      <c r="X22" s="136"/>
      <c r="Y22" s="136"/>
      <c r="Z22" s="136"/>
      <c r="AA22" s="83"/>
      <c r="AB22" s="136"/>
      <c r="AC22" s="136"/>
      <c r="AD22" s="136"/>
      <c r="AE22" s="136"/>
      <c r="AG22" s="136"/>
      <c r="AH22" s="136"/>
      <c r="AI22" s="75"/>
      <c r="AJ22" s="136"/>
      <c r="AK22" s="136"/>
      <c r="AL22" s="83"/>
      <c r="AM22" s="83"/>
    </row>
    <row r="23" spans="1:53" ht="15.75" thickBot="1">
      <c r="A23" s="466"/>
      <c r="B23" s="186" t="s">
        <v>23</v>
      </c>
      <c r="C23" s="93">
        <v>1</v>
      </c>
      <c r="D23" s="139"/>
      <c r="E23" s="187">
        <v>1</v>
      </c>
      <c r="F23" s="188" t="s">
        <v>24</v>
      </c>
      <c r="G23" s="457" t="s">
        <v>25</v>
      </c>
      <c r="H23" s="458"/>
      <c r="I23" s="458"/>
      <c r="J23" s="458"/>
      <c r="K23" s="459"/>
      <c r="L23" s="176"/>
      <c r="U23" s="83"/>
      <c r="V23" s="142"/>
      <c r="W23" s="142"/>
      <c r="X23" s="83"/>
      <c r="Y23" s="83"/>
      <c r="Z23" s="143"/>
      <c r="AA23" s="143"/>
      <c r="AB23" s="189"/>
      <c r="AC23" s="189"/>
      <c r="AD23" s="189"/>
      <c r="AE23" s="189"/>
      <c r="AF23" s="166"/>
      <c r="AG23" s="166"/>
      <c r="AH23" s="166"/>
      <c r="AI23" s="83"/>
      <c r="AJ23" s="144"/>
      <c r="AK23" s="144"/>
      <c r="AL23" s="142"/>
      <c r="AM23" s="142"/>
    </row>
    <row r="24" spans="1:53" ht="5.0999999999999996" customHeight="1" thickBot="1">
      <c r="A24" s="145"/>
      <c r="B24" s="122"/>
      <c r="C24" s="122"/>
      <c r="D24" s="122"/>
      <c r="E24" s="122"/>
      <c r="F24" s="122"/>
      <c r="G24" s="122"/>
      <c r="H24" s="122"/>
      <c r="I24" s="122"/>
      <c r="J24" s="122"/>
      <c r="K24" s="146"/>
    </row>
    <row r="25" spans="1:53" ht="15" thickBot="1">
      <c r="A25" s="445"/>
      <c r="B25" s="96"/>
      <c r="C25" s="96"/>
      <c r="D25" s="96"/>
      <c r="E25" s="96">
        <f>(B25-D25)/2</f>
        <v>0</v>
      </c>
      <c r="F25" s="167">
        <f>B25-D25-E25</f>
        <v>0</v>
      </c>
      <c r="G25" s="96">
        <f>(C25-D25)/2</f>
        <v>0</v>
      </c>
      <c r="H25" s="167">
        <f>C25-D25-G25</f>
        <v>0</v>
      </c>
      <c r="I25" s="300" t="str">
        <f>IF($B25&gt;0,$K$10,"")</f>
        <v/>
      </c>
      <c r="J25" s="300" t="str">
        <f>IF($B25&gt;0,$K$11,"")</f>
        <v/>
      </c>
      <c r="K25" s="178"/>
      <c r="L25" s="345" t="s">
        <v>20</v>
      </c>
      <c r="U25" s="97" t="s">
        <v>14</v>
      </c>
      <c r="V25" s="98" t="s">
        <v>27</v>
      </c>
      <c r="W25" s="98" t="s">
        <v>28</v>
      </c>
      <c r="X25" s="98" t="s">
        <v>27</v>
      </c>
      <c r="Y25" s="98" t="s">
        <v>28</v>
      </c>
      <c r="Z25" s="98" t="s">
        <v>29</v>
      </c>
      <c r="AA25" s="66" t="s">
        <v>30</v>
      </c>
      <c r="AB25" s="153" t="s">
        <v>31</v>
      </c>
      <c r="AC25" s="153"/>
      <c r="AD25" s="153"/>
      <c r="AE25" s="100" t="s">
        <v>83</v>
      </c>
      <c r="AF25" s="98" t="s">
        <v>84</v>
      </c>
      <c r="AG25" s="98" t="s">
        <v>85</v>
      </c>
      <c r="AH25" s="100" t="s">
        <v>86</v>
      </c>
      <c r="AI25" s="100" t="s">
        <v>34</v>
      </c>
      <c r="AJ25" s="98" t="s">
        <v>32</v>
      </c>
      <c r="AK25" s="98" t="s">
        <v>32</v>
      </c>
      <c r="AL25" s="98" t="s">
        <v>35</v>
      </c>
      <c r="AM25" s="101" t="s">
        <v>36</v>
      </c>
      <c r="AO25" s="97" t="str">
        <f>informatieblad!$A$6</f>
        <v>FL20</v>
      </c>
      <c r="AP25" s="97" t="str">
        <f>informatieblad!$A$7</f>
        <v>FL30</v>
      </c>
      <c r="AQ25" s="99" t="str">
        <f>informatieblad!$A$8</f>
        <v>FL40</v>
      </c>
      <c r="AR25" s="266" t="str">
        <f>informatieblad!$A$5</f>
        <v>none</v>
      </c>
      <c r="AT25" s="266" t="s">
        <v>17</v>
      </c>
      <c r="AW25" s="266" t="s">
        <v>37</v>
      </c>
      <c r="AY25" s="269" t="s">
        <v>38</v>
      </c>
      <c r="AZ25" s="272">
        <f>informatieblad!$B$3</f>
        <v>0</v>
      </c>
      <c r="BA25" s="264">
        <f>informatieblad!$B$4</f>
        <v>0</v>
      </c>
    </row>
    <row r="26" spans="1:53">
      <c r="A26" s="481"/>
      <c r="B26" s="482" t="str">
        <f>IF($C27&gt;0,IF(MAX(B25:C25)&lt;informatieblad!$Q$4,informatieblad!$P$3,IF(MAX(B25:C25)&gt;informatieblad!$R$4,informatieblad!$P$5,informatieblad!$P$4)),"")</f>
        <v/>
      </c>
      <c r="C26" s="483"/>
      <c r="D26" s="303" t="str">
        <f>A25&amp;"-"&amp;informatieblad!$B$15&amp;"-"&amp;B25&amp;"-"&amp;C25&amp;"-"&amp;D25&amp;"-"&amp;E25&amp;"-"&amp;F25&amp;"-"&amp;G25&amp;"-"&amp;H25&amp;"-"&amp;I25&amp;"-"&amp;J25&amp;"-"&amp;K25&amp;"-"&amp;B26&amp;"-"&amp;G27</f>
        <v>-RctRR----0-0-0-0-----Options None</v>
      </c>
      <c r="E26" s="174"/>
      <c r="F26" s="174"/>
      <c r="G26" s="174"/>
      <c r="H26" s="469" t="s">
        <v>82</v>
      </c>
      <c r="I26" s="470"/>
      <c r="J26" s="470"/>
      <c r="K26" s="191" t="str">
        <f>(IF($C27&gt;0,(IF(MAX((MAX(B25,C25)-D25)/2,(D25-MAX(B25,C25)))*1.732&gt;270,MAX((MAX(B25,C25)-D25)/2,(D146-MAX(B25,C25)))*1.732,270)+30),""))</f>
        <v/>
      </c>
      <c r="L26" s="83"/>
      <c r="U26" s="103">
        <f>A25</f>
        <v>0</v>
      </c>
      <c r="V26" s="104" t="s">
        <v>39</v>
      </c>
      <c r="W26" s="104" t="s">
        <v>39</v>
      </c>
      <c r="X26" s="104" t="s">
        <v>40</v>
      </c>
      <c r="Y26" s="104" t="s">
        <v>40</v>
      </c>
      <c r="Z26" s="104" t="s">
        <v>40</v>
      </c>
      <c r="AA26" s="105"/>
      <c r="AB26" s="155" t="s">
        <v>27</v>
      </c>
      <c r="AC26" s="155" t="s">
        <v>40</v>
      </c>
      <c r="AD26" s="155" t="s">
        <v>41</v>
      </c>
      <c r="AE26" s="104"/>
      <c r="AG26" s="136" t="s">
        <v>15</v>
      </c>
      <c r="AH26" s="136" t="s">
        <v>16</v>
      </c>
      <c r="AI26" s="107"/>
      <c r="AJ26" s="104" t="s">
        <v>40</v>
      </c>
      <c r="AK26" s="104" t="s">
        <v>41</v>
      </c>
      <c r="AL26" s="108"/>
      <c r="AM26" s="109"/>
      <c r="AO26" s="262" t="str">
        <f>informatieblad!$A$2</f>
        <v>FL20 loose</v>
      </c>
      <c r="AP26" s="262" t="str">
        <f>informatieblad!$A$3</f>
        <v>FL30 loose</v>
      </c>
      <c r="AQ26" s="263" t="str">
        <f>informatieblad!$A$4</f>
        <v>FL40 loose</v>
      </c>
      <c r="AR26" s="282"/>
      <c r="AT26" s="267"/>
      <c r="AV26" s="83" t="str">
        <f>'UC mounting materials '!$B$10</f>
        <v>Rail 30x15</v>
      </c>
      <c r="AW26" s="327">
        <f>IF(AE27&lt;1000,(AE27+100),0)*C27</f>
        <v>0</v>
      </c>
      <c r="AY26" s="265" t="s">
        <v>47</v>
      </c>
      <c r="AZ26" s="83" t="s">
        <v>23</v>
      </c>
      <c r="BA26" s="273" t="s">
        <v>23</v>
      </c>
    </row>
    <row r="27" spans="1:53" ht="15.75" thickBot="1">
      <c r="A27" s="476"/>
      <c r="B27" s="186" t="s">
        <v>23</v>
      </c>
      <c r="C27" s="110"/>
      <c r="D27" s="139"/>
      <c r="E27" s="94">
        <f>C27*W27</f>
        <v>0</v>
      </c>
      <c r="F27" s="141" t="s">
        <v>24</v>
      </c>
      <c r="G27" s="451" t="s">
        <v>25</v>
      </c>
      <c r="H27" s="484"/>
      <c r="I27" s="484"/>
      <c r="J27" s="484"/>
      <c r="K27" s="485"/>
      <c r="L27" s="176"/>
      <c r="U27" s="111"/>
      <c r="V27" s="112">
        <f>ROUND((((2*(B25+C25))*AF27)/1000000),2)</f>
        <v>0</v>
      </c>
      <c r="W27" s="158">
        <f>((IF(V27&lt;=informatieblad!$I$15,informatieblad!$I$15,IF(V27&gt;=informatieblad!$I$15,V27))))</f>
        <v>1</v>
      </c>
      <c r="X27" s="112">
        <f>ROUND((((2*(B25+C25))*AF27)/1000000),2)</f>
        <v>0</v>
      </c>
      <c r="Y27" s="112">
        <f>((IF(X27&lt;=informatieblad!$H$15,informatieblad!$H$15,IF(X27&gt;=informatieblad!$H$15,X27))))</f>
        <v>0</v>
      </c>
      <c r="Z27" s="113">
        <f>((Y27*AJ27)+(Y27*AC27))*C27</f>
        <v>0</v>
      </c>
      <c r="AA27" s="114">
        <f>((W27*AK27)+(W27*AD27))*C27</f>
        <v>0</v>
      </c>
      <c r="AB27" s="115" t="str">
        <f>G27</f>
        <v>Options None</v>
      </c>
      <c r="AC27" s="115">
        <f>VLOOKUP(G27,informatieblad!$A$37:$D$41,2,FALSE)</f>
        <v>0</v>
      </c>
      <c r="AD27" s="115">
        <f>VLOOKUP(G27,informatieblad!$A$37:$D$41,4,FALSE)</f>
        <v>0</v>
      </c>
      <c r="AE27" s="160">
        <f>(MAX(B25:C25))</f>
        <v>0</v>
      </c>
      <c r="AF27" s="161">
        <f>(MAX(AH27,AG27))</f>
        <v>0</v>
      </c>
      <c r="AG27" s="162">
        <f>ROUND((SQRT((((MAX(E25,F25))^2)+(K25^2)))),0)</f>
        <v>0</v>
      </c>
      <c r="AH27" s="163">
        <f>ROUND((SQRT((((MAX(G25,H25))^2)+(K25^2)))),0)</f>
        <v>0</v>
      </c>
      <c r="AI27" s="119">
        <f>LOOKUP(AE27,informatieblad!$C$27:$C$32,informatieblad!$A$27:$A$32)</f>
        <v>0.5</v>
      </c>
      <c r="AJ27" s="118">
        <f>VLOOKUP(AI27,informatieblad!$A$27:$M$32,6,FALSE)</f>
        <v>0</v>
      </c>
      <c r="AK27" s="118">
        <f>VLOOKUP(AI27,informatieblad!$A$27:$M$32,8,FALSE)</f>
        <v>45.1248</v>
      </c>
      <c r="AL27" s="120">
        <f>VLOOKUP(AI27,informatieblad!$A$27:$M$32,13,FALSE)</f>
        <v>4</v>
      </c>
      <c r="AM27" s="121">
        <f>ROUND((AL27*X27),1)</f>
        <v>0</v>
      </c>
      <c r="AO27" s="111">
        <f>(IF(B26=AO25,((2*B25)+(2*C25)),IF(B26=AO26,((2*B25)+(2*C25)),0)))*C27</f>
        <v>0</v>
      </c>
      <c r="AP27" s="111">
        <f>(IF(B26=AP25,((2*B25)+(2*C25)),IF(B26=AP26,((2*B25)+(2*C25)),0)))*C27</f>
        <v>0</v>
      </c>
      <c r="AQ27" s="261">
        <f>(IF(B26=AQ25,((2*B25)+(2*C25)),IF(B26=AQ26,((2*B25)+(2*C25)),0)))*C27</f>
        <v>0</v>
      </c>
      <c r="AR27" s="283">
        <f>(IF(B26=AR25,((2*B25)+(2*C25)),0))*C27</f>
        <v>0</v>
      </c>
      <c r="AT27" s="268">
        <f>K25*C27</f>
        <v>0</v>
      </c>
      <c r="AV27" s="83" t="str">
        <f>'UC mounting materials '!$B$11</f>
        <v>Rail 41x41</v>
      </c>
      <c r="AW27" s="268">
        <f>IF(AE27&gt;999,(AE27+100),0)*C27</f>
        <v>0</v>
      </c>
      <c r="AY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AZ27" s="276">
        <f>IF(AY27=AZ25,(4*C27),0)</f>
        <v>0</v>
      </c>
      <c r="BA27" s="274">
        <f>IF(AY27=BA25,(4*C27),0)</f>
        <v>0</v>
      </c>
    </row>
    <row r="28" spans="1:53" ht="5.0999999999999996" customHeight="1" thickBot="1">
      <c r="A28" s="145"/>
      <c r="B28" s="122"/>
      <c r="C28" s="122"/>
      <c r="D28" s="122"/>
      <c r="E28" s="122"/>
      <c r="F28" s="122"/>
      <c r="G28" s="122"/>
      <c r="H28" s="122"/>
      <c r="I28" s="122"/>
      <c r="J28" s="122"/>
      <c r="K28" s="146"/>
    </row>
    <row r="29" spans="1:53" ht="15" thickBot="1">
      <c r="A29" s="445"/>
      <c r="B29" s="96"/>
      <c r="C29" s="96"/>
      <c r="D29" s="96"/>
      <c r="E29" s="96">
        <f>(B29-D29)/2</f>
        <v>0</v>
      </c>
      <c r="F29" s="167">
        <f>B29-D29-E29</f>
        <v>0</v>
      </c>
      <c r="G29" s="96">
        <f>(C29-D29)/2</f>
        <v>0</v>
      </c>
      <c r="H29" s="167">
        <f>C29-D29-G29</f>
        <v>0</v>
      </c>
      <c r="I29" s="300" t="str">
        <f>IF($B29&gt;0,$K$10,"")</f>
        <v/>
      </c>
      <c r="J29" s="300" t="str">
        <f>IF($B29&gt;0,$K$11,"")</f>
        <v/>
      </c>
      <c r="K29" s="178"/>
      <c r="L29" s="345" t="s">
        <v>20</v>
      </c>
      <c r="U29" s="97" t="s">
        <v>14</v>
      </c>
      <c r="V29" s="98" t="s">
        <v>27</v>
      </c>
      <c r="W29" s="98" t="s">
        <v>28</v>
      </c>
      <c r="X29" s="98" t="s">
        <v>27</v>
      </c>
      <c r="Y29" s="98" t="s">
        <v>28</v>
      </c>
      <c r="Z29" s="98" t="s">
        <v>29</v>
      </c>
      <c r="AA29" s="66" t="s">
        <v>30</v>
      </c>
      <c r="AB29" s="153" t="s">
        <v>31</v>
      </c>
      <c r="AC29" s="153"/>
      <c r="AD29" s="153"/>
      <c r="AE29" s="100" t="s">
        <v>83</v>
      </c>
      <c r="AF29" s="98" t="s">
        <v>84</v>
      </c>
      <c r="AG29" s="98" t="s">
        <v>85</v>
      </c>
      <c r="AH29" s="100" t="s">
        <v>86</v>
      </c>
      <c r="AI29" s="100" t="s">
        <v>34</v>
      </c>
      <c r="AJ29" s="98" t="s">
        <v>32</v>
      </c>
      <c r="AK29" s="98" t="s">
        <v>32</v>
      </c>
      <c r="AL29" s="98" t="s">
        <v>35</v>
      </c>
      <c r="AM29" s="101" t="s">
        <v>36</v>
      </c>
      <c r="AO29" s="97" t="str">
        <f>informatieblad!$A$6</f>
        <v>FL20</v>
      </c>
      <c r="AP29" s="97" t="str">
        <f>informatieblad!$A$7</f>
        <v>FL30</v>
      </c>
      <c r="AQ29" s="99" t="str">
        <f>informatieblad!$A$8</f>
        <v>FL40</v>
      </c>
      <c r="AR29" s="266" t="str">
        <f>informatieblad!$A$5</f>
        <v>none</v>
      </c>
      <c r="AT29" s="266" t="s">
        <v>17</v>
      </c>
      <c r="AW29" s="266" t="s">
        <v>37</v>
      </c>
      <c r="AY29" s="269" t="s">
        <v>38</v>
      </c>
      <c r="AZ29" s="272">
        <f>informatieblad!$B$3</f>
        <v>0</v>
      </c>
      <c r="BA29" s="264">
        <f>informatieblad!$B$4</f>
        <v>0</v>
      </c>
    </row>
    <row r="30" spans="1:53">
      <c r="A30" s="481"/>
      <c r="B30" s="482" t="str">
        <f>IF($C31&gt;0,IF(MAX(B29:C29)&lt;informatieblad!$Q$4,informatieblad!$P$3,IF(MAX(B29:C29)&gt;informatieblad!$R$4,informatieblad!$P$5,informatieblad!$P$4)),"")</f>
        <v/>
      </c>
      <c r="C30" s="483"/>
      <c r="D30" s="303" t="str">
        <f>A29&amp;"-"&amp;informatieblad!$B$15&amp;"-"&amp;B29&amp;"-"&amp;C29&amp;"-"&amp;D29&amp;"-"&amp;E29&amp;"-"&amp;F29&amp;"-"&amp;G29&amp;"-"&amp;H29&amp;"-"&amp;I29&amp;"-"&amp;J29&amp;"-"&amp;K29&amp;"-"&amp;B30&amp;"-"&amp;G31</f>
        <v>-RctRR----0-0-0-0-----Options None</v>
      </c>
      <c r="E30" s="174"/>
      <c r="F30" s="174"/>
      <c r="G30" s="174"/>
      <c r="H30" s="469" t="s">
        <v>82</v>
      </c>
      <c r="I30" s="470"/>
      <c r="J30" s="470"/>
      <c r="K30" s="191" t="str">
        <f>(IF($C31&gt;0,(IF(MAX((MAX(B29,C29)-D29)/2,(D29-MAX(B29,C29)))*1.732&gt;270,MAX((MAX(B29,C29)-D29)/2,(D150-MAX(B29,C29)))*1.732,270)+30),""))</f>
        <v/>
      </c>
      <c r="L30" s="83"/>
      <c r="U30" s="103">
        <f>A29</f>
        <v>0</v>
      </c>
      <c r="V30" s="104" t="s">
        <v>39</v>
      </c>
      <c r="W30" s="104" t="s">
        <v>39</v>
      </c>
      <c r="X30" s="104" t="s">
        <v>40</v>
      </c>
      <c r="Y30" s="104" t="s">
        <v>40</v>
      </c>
      <c r="Z30" s="104" t="s">
        <v>40</v>
      </c>
      <c r="AA30" s="105"/>
      <c r="AB30" s="155" t="s">
        <v>27</v>
      </c>
      <c r="AC30" s="155" t="s">
        <v>40</v>
      </c>
      <c r="AD30" s="155" t="s">
        <v>41</v>
      </c>
      <c r="AE30" s="104"/>
      <c r="AG30" s="136" t="s">
        <v>15</v>
      </c>
      <c r="AH30" s="136" t="s">
        <v>16</v>
      </c>
      <c r="AI30" s="107"/>
      <c r="AJ30" s="104" t="s">
        <v>40</v>
      </c>
      <c r="AK30" s="104" t="s">
        <v>41</v>
      </c>
      <c r="AL30" s="108"/>
      <c r="AM30" s="109"/>
      <c r="AO30" s="262" t="str">
        <f>informatieblad!$A$2</f>
        <v>FL20 loose</v>
      </c>
      <c r="AP30" s="262" t="str">
        <f>informatieblad!$A$3</f>
        <v>FL30 loose</v>
      </c>
      <c r="AQ30" s="263" t="str">
        <f>informatieblad!$A$4</f>
        <v>FL40 loose</v>
      </c>
      <c r="AR30" s="282"/>
      <c r="AT30" s="267"/>
      <c r="AV30" s="83" t="str">
        <f>'UC mounting materials '!$B$10</f>
        <v>Rail 30x15</v>
      </c>
      <c r="AW30" s="327">
        <f>IF(AE31&lt;1000,(AE31+100),0)*C31</f>
        <v>0</v>
      </c>
      <c r="AY30" s="265" t="s">
        <v>47</v>
      </c>
      <c r="AZ30" s="83" t="s">
        <v>23</v>
      </c>
      <c r="BA30" s="273" t="s">
        <v>23</v>
      </c>
    </row>
    <row r="31" spans="1:53" ht="15.75" thickBot="1">
      <c r="A31" s="476"/>
      <c r="B31" s="186" t="s">
        <v>23</v>
      </c>
      <c r="C31" s="110"/>
      <c r="D31" s="139"/>
      <c r="E31" s="94">
        <f>C31*W31</f>
        <v>0</v>
      </c>
      <c r="F31" s="141" t="s">
        <v>24</v>
      </c>
      <c r="G31" s="451" t="s">
        <v>25</v>
      </c>
      <c r="H31" s="484"/>
      <c r="I31" s="484"/>
      <c r="J31" s="484"/>
      <c r="K31" s="485"/>
      <c r="L31" s="176"/>
      <c r="U31" s="111"/>
      <c r="V31" s="112">
        <f>ROUND((((2*(B29+C29))*AF31)/1000000),2)</f>
        <v>0</v>
      </c>
      <c r="W31" s="158">
        <f>((IF(V31&lt;=informatieblad!$I$15,informatieblad!$I$15,IF(V31&gt;=informatieblad!$I$15,V31))))</f>
        <v>1</v>
      </c>
      <c r="X31" s="112">
        <f>ROUND((((2*(B29+C29))*AF31)/1000000),2)</f>
        <v>0</v>
      </c>
      <c r="Y31" s="112">
        <f>((IF(X31&lt;=informatieblad!$H$15,informatieblad!$H$15,IF(X31&gt;=informatieblad!$H$15,X31))))</f>
        <v>0</v>
      </c>
      <c r="Z31" s="113">
        <f>((Y31*AJ31)+(Y31*AC31))*C31</f>
        <v>0</v>
      </c>
      <c r="AA31" s="114">
        <f>((W31*AK31)+(W31*AD31))*C31</f>
        <v>0</v>
      </c>
      <c r="AB31" s="115" t="str">
        <f>G31</f>
        <v>Options None</v>
      </c>
      <c r="AC31" s="115">
        <f>VLOOKUP(G31,informatieblad!$A$37:$D$41,2,FALSE)</f>
        <v>0</v>
      </c>
      <c r="AD31" s="115">
        <f>VLOOKUP(G31,informatieblad!$A$37:$D$41,4,FALSE)</f>
        <v>0</v>
      </c>
      <c r="AE31" s="160">
        <f>(MAX(B29:C29))</f>
        <v>0</v>
      </c>
      <c r="AF31" s="161">
        <f>(MAX(AH31,AG31))</f>
        <v>0</v>
      </c>
      <c r="AG31" s="162">
        <f>ROUND((SQRT((((MAX(E29,F29))^2)+(K29^2)))),0)</f>
        <v>0</v>
      </c>
      <c r="AH31" s="163">
        <f>ROUND((SQRT((((MAX(G29,H29))^2)+(K29^2)))),0)</f>
        <v>0</v>
      </c>
      <c r="AI31" s="119">
        <f>LOOKUP(AE31,informatieblad!$C$27:$C$32,informatieblad!$A$27:$A$32)</f>
        <v>0.5</v>
      </c>
      <c r="AJ31" s="118">
        <f>VLOOKUP(AI31,informatieblad!$A$27:$M$32,6,FALSE)</f>
        <v>0</v>
      </c>
      <c r="AK31" s="118">
        <f>VLOOKUP(AI31,informatieblad!$A$27:$M$32,8,FALSE)</f>
        <v>45.1248</v>
      </c>
      <c r="AL31" s="120">
        <f>VLOOKUP(AI31,informatieblad!$A$27:$M$32,13,FALSE)</f>
        <v>4</v>
      </c>
      <c r="AM31" s="121">
        <f>ROUND((AL31*X31),1)</f>
        <v>0</v>
      </c>
      <c r="AO31" s="111">
        <f>(IF(B30=AO29,((2*B29)+(2*C29)),IF(B30=AO30,((2*B29)+(2*C29)),0)))*C31</f>
        <v>0</v>
      </c>
      <c r="AP31" s="111">
        <f>(IF(B30=AP29,((2*B29)+(2*C29)),IF(B30=AP30,((2*B29)+(2*C29)),0)))*C31</f>
        <v>0</v>
      </c>
      <c r="AQ31" s="261">
        <f>(IF(B30=AQ29,((2*B29)+(2*C29)),IF(B30=AQ30,((2*B29)+(2*C29)),0)))*C31</f>
        <v>0</v>
      </c>
      <c r="AR31" s="283">
        <f>(IF(B30=AR29,((2*B29)+(2*C29)),0))*C31</f>
        <v>0</v>
      </c>
      <c r="AT31" s="268">
        <f>K29*C31</f>
        <v>0</v>
      </c>
      <c r="AV31" s="83" t="str">
        <f>'UC mounting materials '!$B$11</f>
        <v>Rail 41x41</v>
      </c>
      <c r="AW31" s="268">
        <f>IF(AE31&gt;999,(AE31+100),0)*C31</f>
        <v>0</v>
      </c>
      <c r="AY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AZ31" s="276">
        <f>IF(AY31=AZ29,(4*C31),0)</f>
        <v>0</v>
      </c>
      <c r="BA31" s="274">
        <f>IF(AY31=BA29,(4*C31),0)</f>
        <v>0</v>
      </c>
    </row>
    <row r="32" spans="1:53" ht="5.0999999999999996" customHeight="1" thickBot="1">
      <c r="A32" s="145"/>
      <c r="B32" s="122"/>
      <c r="C32" s="122"/>
      <c r="D32" s="122"/>
      <c r="E32" s="122"/>
      <c r="F32" s="122"/>
      <c r="G32" s="122"/>
      <c r="H32" s="122"/>
      <c r="I32" s="122"/>
      <c r="J32" s="122"/>
      <c r="K32" s="146"/>
    </row>
    <row r="33" spans="1:53" ht="15" customHeight="1" thickBot="1">
      <c r="A33" s="445"/>
      <c r="B33" s="96"/>
      <c r="C33" s="96"/>
      <c r="D33" s="96"/>
      <c r="E33" s="96">
        <f>(B33-D33)/2</f>
        <v>0</v>
      </c>
      <c r="F33" s="167">
        <f>B33-D33-E33</f>
        <v>0</v>
      </c>
      <c r="G33" s="96">
        <f>(C33-D33)/2</f>
        <v>0</v>
      </c>
      <c r="H33" s="167">
        <f>C33-D33-G33</f>
        <v>0</v>
      </c>
      <c r="I33" s="300" t="str">
        <f>IF($B33&gt;0,$K$10,"")</f>
        <v/>
      </c>
      <c r="J33" s="300" t="str">
        <f>IF($B33&gt;0,$K$11,"")</f>
        <v/>
      </c>
      <c r="K33" s="178"/>
      <c r="L33" s="345" t="s">
        <v>20</v>
      </c>
      <c r="U33" s="97" t="s">
        <v>14</v>
      </c>
      <c r="V33" s="98" t="s">
        <v>27</v>
      </c>
      <c r="W33" s="98" t="s">
        <v>28</v>
      </c>
      <c r="X33" s="98" t="s">
        <v>27</v>
      </c>
      <c r="Y33" s="98" t="s">
        <v>28</v>
      </c>
      <c r="Z33" s="98" t="s">
        <v>29</v>
      </c>
      <c r="AA33" s="66" t="s">
        <v>30</v>
      </c>
      <c r="AB33" s="153" t="s">
        <v>31</v>
      </c>
      <c r="AC33" s="153"/>
      <c r="AD33" s="153"/>
      <c r="AE33" s="100" t="s">
        <v>83</v>
      </c>
      <c r="AF33" s="98" t="s">
        <v>84</v>
      </c>
      <c r="AG33" s="98" t="s">
        <v>85</v>
      </c>
      <c r="AH33" s="100" t="s">
        <v>86</v>
      </c>
      <c r="AI33" s="100" t="s">
        <v>34</v>
      </c>
      <c r="AJ33" s="98" t="s">
        <v>32</v>
      </c>
      <c r="AK33" s="98" t="s">
        <v>32</v>
      </c>
      <c r="AL33" s="98" t="s">
        <v>35</v>
      </c>
      <c r="AM33" s="101" t="s">
        <v>36</v>
      </c>
      <c r="AO33" s="97" t="str">
        <f>informatieblad!$A$6</f>
        <v>FL20</v>
      </c>
      <c r="AP33" s="97" t="str">
        <f>informatieblad!$A$7</f>
        <v>FL30</v>
      </c>
      <c r="AQ33" s="99" t="str">
        <f>informatieblad!$A$8</f>
        <v>FL40</v>
      </c>
      <c r="AR33" s="266" t="str">
        <f>informatieblad!$A$5</f>
        <v>none</v>
      </c>
      <c r="AT33" s="266" t="s">
        <v>17</v>
      </c>
      <c r="AW33" s="266" t="s">
        <v>37</v>
      </c>
      <c r="AY33" s="269" t="s">
        <v>38</v>
      </c>
      <c r="AZ33" s="272">
        <f>informatieblad!$B$3</f>
        <v>0</v>
      </c>
      <c r="BA33" s="264">
        <f>informatieblad!$B$4</f>
        <v>0</v>
      </c>
    </row>
    <row r="34" spans="1:53">
      <c r="A34" s="481"/>
      <c r="B34" s="482" t="str">
        <f>IF($C35&gt;0,IF(MAX(B33:C33)&lt;informatieblad!$Q$4,informatieblad!$P$3,IF(MAX(B33:C33)&gt;informatieblad!$R$4,informatieblad!$P$5,informatieblad!$P$4)),"")</f>
        <v/>
      </c>
      <c r="C34" s="483"/>
      <c r="D34" s="190" t="str">
        <f>A33&amp;"-"&amp;informatieblad!$B$15&amp;"-"&amp;B33&amp;"-"&amp;C33&amp;"-"&amp;D33&amp;"-"&amp;E33&amp;"-"&amp;F33&amp;"-"&amp;G33&amp;"-"&amp;H33&amp;"-"&amp;I33&amp;"-"&amp;J33&amp;"-"&amp;K33&amp;"-"&amp;B34&amp;"-"&amp;G35</f>
        <v>-RctRR----0-0-0-0-----Options None</v>
      </c>
      <c r="E34" s="174"/>
      <c r="F34" s="174"/>
      <c r="G34" s="174"/>
      <c r="H34" s="469" t="s">
        <v>82</v>
      </c>
      <c r="I34" s="470"/>
      <c r="J34" s="470"/>
      <c r="K34" s="191" t="str">
        <f>(IF($C35&gt;0,(IF(MAX((MAX(B33,C33)-D33)/2,(D33-MAX(B33,C33)))*1.732&gt;270,MAX((MAX(B33,C33)-D33)/2,(D154-MAX(B33,C33)))*1.732,270)+30),""))</f>
        <v/>
      </c>
      <c r="L34" s="83"/>
      <c r="U34" s="103">
        <f>A33</f>
        <v>0</v>
      </c>
      <c r="V34" s="104" t="s">
        <v>39</v>
      </c>
      <c r="W34" s="104" t="s">
        <v>39</v>
      </c>
      <c r="X34" s="104" t="s">
        <v>40</v>
      </c>
      <c r="Y34" s="104" t="s">
        <v>40</v>
      </c>
      <c r="Z34" s="104" t="s">
        <v>40</v>
      </c>
      <c r="AA34" s="105"/>
      <c r="AB34" s="155" t="s">
        <v>27</v>
      </c>
      <c r="AC34" s="155" t="s">
        <v>40</v>
      </c>
      <c r="AD34" s="155" t="s">
        <v>41</v>
      </c>
      <c r="AE34" s="104"/>
      <c r="AG34" s="136" t="s">
        <v>15</v>
      </c>
      <c r="AH34" s="136" t="s">
        <v>16</v>
      </c>
      <c r="AI34" s="107"/>
      <c r="AJ34" s="104" t="s">
        <v>40</v>
      </c>
      <c r="AK34" s="104" t="s">
        <v>41</v>
      </c>
      <c r="AL34" s="108"/>
      <c r="AM34" s="109"/>
      <c r="AO34" s="262" t="str">
        <f>informatieblad!$A$2</f>
        <v>FL20 loose</v>
      </c>
      <c r="AP34" s="262" t="str">
        <f>informatieblad!$A$3</f>
        <v>FL30 loose</v>
      </c>
      <c r="AQ34" s="263" t="str">
        <f>informatieblad!$A$4</f>
        <v>FL40 loose</v>
      </c>
      <c r="AR34" s="282"/>
      <c r="AT34" s="267"/>
      <c r="AV34" s="83" t="str">
        <f>'UC mounting materials '!$B$10</f>
        <v>Rail 30x15</v>
      </c>
      <c r="AW34" s="327">
        <f>IF(AE35&lt;1000,(AE35+100),0)*C35</f>
        <v>0</v>
      </c>
      <c r="AY34" s="265" t="s">
        <v>47</v>
      </c>
      <c r="AZ34" s="83" t="s">
        <v>23</v>
      </c>
      <c r="BA34" s="273" t="s">
        <v>23</v>
      </c>
    </row>
    <row r="35" spans="1:53" ht="15.75" thickBot="1">
      <c r="A35" s="476"/>
      <c r="B35" s="186" t="s">
        <v>23</v>
      </c>
      <c r="C35" s="110"/>
      <c r="D35" s="139"/>
      <c r="E35" s="94">
        <f>C35*W35</f>
        <v>0</v>
      </c>
      <c r="F35" s="141" t="s">
        <v>24</v>
      </c>
      <c r="G35" s="451" t="s">
        <v>25</v>
      </c>
      <c r="H35" s="484"/>
      <c r="I35" s="484"/>
      <c r="J35" s="484"/>
      <c r="K35" s="485"/>
      <c r="L35" s="176"/>
      <c r="U35" s="111"/>
      <c r="V35" s="112">
        <f>ROUND((((2*(B33+C33))*AF35)/1000000),2)</f>
        <v>0</v>
      </c>
      <c r="W35" s="158">
        <f>((IF(V35&lt;=informatieblad!$I$15,informatieblad!$I$15,IF(V35&gt;=informatieblad!$I$15,V35))))</f>
        <v>1</v>
      </c>
      <c r="X35" s="112">
        <f>ROUND((((2*(B33+C33))*AF35)/1000000),2)</f>
        <v>0</v>
      </c>
      <c r="Y35" s="112">
        <f>((IF(X35&lt;=informatieblad!$H$15,informatieblad!$H$15,IF(X35&gt;=informatieblad!$H$15,X35))))</f>
        <v>0</v>
      </c>
      <c r="Z35" s="113">
        <f>((Y35*AJ35)+(Y35*AC35))*C35</f>
        <v>0</v>
      </c>
      <c r="AA35" s="114">
        <f>((W35*AK35)+(W35*AD35))*C35</f>
        <v>0</v>
      </c>
      <c r="AB35" s="115" t="str">
        <f>G35</f>
        <v>Options None</v>
      </c>
      <c r="AC35" s="115">
        <f>VLOOKUP(G35,informatieblad!$A$37:$D$41,2,FALSE)</f>
        <v>0</v>
      </c>
      <c r="AD35" s="115">
        <f>VLOOKUP(G35,informatieblad!$A$37:$D$41,4,FALSE)</f>
        <v>0</v>
      </c>
      <c r="AE35" s="160">
        <f>(MAX(B33:C33))</f>
        <v>0</v>
      </c>
      <c r="AF35" s="161">
        <f>(MAX(AH35,AG35))</f>
        <v>0</v>
      </c>
      <c r="AG35" s="162">
        <f>ROUND((SQRT((((MAX(E33,F33))^2)+(K33^2)))),0)</f>
        <v>0</v>
      </c>
      <c r="AH35" s="163">
        <f>ROUND((SQRT((((MAX(G33,H33))^2)+(K33^2)))),0)</f>
        <v>0</v>
      </c>
      <c r="AI35" s="119">
        <f>LOOKUP(AE35,informatieblad!$C$27:$C$32,informatieblad!$A$27:$A$32)</f>
        <v>0.5</v>
      </c>
      <c r="AJ35" s="118">
        <f>VLOOKUP(AI35,informatieblad!$A$27:$M$32,6,FALSE)</f>
        <v>0</v>
      </c>
      <c r="AK35" s="118">
        <f>VLOOKUP(AI35,informatieblad!$A$27:$M$32,8,FALSE)</f>
        <v>45.1248</v>
      </c>
      <c r="AL35" s="120">
        <f>VLOOKUP(AI35,informatieblad!$A$27:$M$32,13,FALSE)</f>
        <v>4</v>
      </c>
      <c r="AM35" s="121">
        <f>ROUND((AL35*X35),1)</f>
        <v>0</v>
      </c>
      <c r="AO35" s="111">
        <f>(IF(B34=AO33,((2*B33)+(2*C33)),IF(B34=AO34,((2*B33)+(2*C33)),0)))*C35</f>
        <v>0</v>
      </c>
      <c r="AP35" s="111">
        <f>(IF(B34=AP33,((2*B33)+(2*C33)),IF(B34=AP34,((2*B33)+(2*C33)),0)))*C35</f>
        <v>0</v>
      </c>
      <c r="AQ35" s="261">
        <f>(IF(B34=AQ33,((2*B33)+(2*C33)),IF(B34=AQ34,((2*B33)+(2*C33)),0)))*C35</f>
        <v>0</v>
      </c>
      <c r="AR35" s="283">
        <f>(IF(B34=AR33,((2*B33)+(2*C33)),0))*C35</f>
        <v>0</v>
      </c>
      <c r="AT35" s="268">
        <f>K33*C35</f>
        <v>0</v>
      </c>
      <c r="AV35" s="83" t="str">
        <f>'UC mounting materials '!$B$11</f>
        <v>Rail 41x41</v>
      </c>
      <c r="AW35" s="268">
        <f>IF(AE35&gt;999,(AE35+100),0)*C35</f>
        <v>0</v>
      </c>
      <c r="AY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AZ35" s="276">
        <f>IF(AY35=AZ33,(4*C35),0)</f>
        <v>0</v>
      </c>
      <c r="BA35" s="274">
        <f>IF(AY35=BA33,(4*C35),0)</f>
        <v>0</v>
      </c>
    </row>
    <row r="36" spans="1:53" ht="5.0999999999999996" customHeight="1" thickBot="1">
      <c r="A36" s="145"/>
      <c r="B36" s="122"/>
      <c r="C36" s="122"/>
      <c r="D36" s="122"/>
      <c r="E36" s="122"/>
      <c r="F36" s="122"/>
      <c r="G36" s="122"/>
      <c r="H36" s="122"/>
      <c r="I36" s="122"/>
      <c r="J36" s="122"/>
      <c r="K36" s="146"/>
    </row>
    <row r="37" spans="1:53" ht="15" thickBot="1">
      <c r="A37" s="445"/>
      <c r="B37" s="96"/>
      <c r="C37" s="96"/>
      <c r="D37" s="96"/>
      <c r="E37" s="96">
        <f>(B37-D37)/2</f>
        <v>0</v>
      </c>
      <c r="F37" s="167">
        <f>B37-D37-E37</f>
        <v>0</v>
      </c>
      <c r="G37" s="96">
        <f>(C37-D37)/2</f>
        <v>0</v>
      </c>
      <c r="H37" s="167">
        <f>C37-D37-G37</f>
        <v>0</v>
      </c>
      <c r="I37" s="300" t="str">
        <f>IF($B37&gt;0,$K$10,"")</f>
        <v/>
      </c>
      <c r="J37" s="300" t="str">
        <f>IF($B37&gt;0,$K$11,"")</f>
        <v/>
      </c>
      <c r="K37" s="178"/>
      <c r="L37" s="345" t="s">
        <v>20</v>
      </c>
      <c r="U37" s="97" t="s">
        <v>14</v>
      </c>
      <c r="V37" s="98" t="s">
        <v>27</v>
      </c>
      <c r="W37" s="98" t="s">
        <v>28</v>
      </c>
      <c r="X37" s="98" t="s">
        <v>27</v>
      </c>
      <c r="Y37" s="98" t="s">
        <v>28</v>
      </c>
      <c r="Z37" s="98" t="s">
        <v>29</v>
      </c>
      <c r="AA37" s="66" t="s">
        <v>30</v>
      </c>
      <c r="AB37" s="153" t="s">
        <v>31</v>
      </c>
      <c r="AC37" s="153"/>
      <c r="AD37" s="153"/>
      <c r="AE37" s="100" t="s">
        <v>83</v>
      </c>
      <c r="AF37" s="98" t="s">
        <v>84</v>
      </c>
      <c r="AG37" s="98" t="s">
        <v>85</v>
      </c>
      <c r="AH37" s="100" t="s">
        <v>86</v>
      </c>
      <c r="AI37" s="100" t="s">
        <v>34</v>
      </c>
      <c r="AJ37" s="98" t="s">
        <v>32</v>
      </c>
      <c r="AK37" s="98" t="s">
        <v>32</v>
      </c>
      <c r="AL37" s="98" t="s">
        <v>35</v>
      </c>
      <c r="AM37" s="101" t="s">
        <v>36</v>
      </c>
      <c r="AO37" s="97" t="str">
        <f>informatieblad!$A$6</f>
        <v>FL20</v>
      </c>
      <c r="AP37" s="97" t="str">
        <f>informatieblad!$A$7</f>
        <v>FL30</v>
      </c>
      <c r="AQ37" s="99" t="str">
        <f>informatieblad!$A$8</f>
        <v>FL40</v>
      </c>
      <c r="AR37" s="266" t="str">
        <f>informatieblad!$A$5</f>
        <v>none</v>
      </c>
      <c r="AT37" s="266" t="s">
        <v>17</v>
      </c>
      <c r="AW37" s="266" t="s">
        <v>37</v>
      </c>
      <c r="AY37" s="269" t="s">
        <v>38</v>
      </c>
      <c r="AZ37" s="272">
        <f>informatieblad!$B$3</f>
        <v>0</v>
      </c>
      <c r="BA37" s="264">
        <f>informatieblad!$B$4</f>
        <v>0</v>
      </c>
    </row>
    <row r="38" spans="1:53">
      <c r="A38" s="481"/>
      <c r="B38" s="482" t="str">
        <f>IF($C39&gt;0,IF(MAX(B37:C37)&lt;informatieblad!$Q$4,informatieblad!$P$3,IF(MAX(B37:C37)&gt;informatieblad!$R$4,informatieblad!$P$5,informatieblad!$P$4)),"")</f>
        <v/>
      </c>
      <c r="C38" s="483"/>
      <c r="D38" s="303" t="str">
        <f>A37&amp;"-"&amp;informatieblad!$B$15&amp;"-"&amp;B37&amp;"-"&amp;C37&amp;"-"&amp;D37&amp;"-"&amp;E37&amp;"-"&amp;F37&amp;"-"&amp;G37&amp;"-"&amp;H37&amp;"-"&amp;I37&amp;"-"&amp;J37&amp;"-"&amp;K37&amp;"-"&amp;B38&amp;"-"&amp;G39</f>
        <v>-RctRR----0-0-0-0-----Options None</v>
      </c>
      <c r="E38" s="174"/>
      <c r="F38" s="174"/>
      <c r="G38" s="174"/>
      <c r="H38" s="469" t="s">
        <v>82</v>
      </c>
      <c r="I38" s="470"/>
      <c r="J38" s="470"/>
      <c r="K38" s="191" t="str">
        <f>(IF($C39&gt;0,(IF(MAX((MAX(B37,C37)-D37)/2,(D37-MAX(B37,C37)))*1.732&gt;270,MAX((MAX(B37,C37)-D37)/2,(D158-MAX(B37,C37)))*1.732,270)+30),""))</f>
        <v/>
      </c>
      <c r="L38" s="83"/>
      <c r="U38" s="103">
        <f>A37</f>
        <v>0</v>
      </c>
      <c r="V38" s="104" t="s">
        <v>39</v>
      </c>
      <c r="W38" s="104" t="s">
        <v>39</v>
      </c>
      <c r="X38" s="104" t="s">
        <v>40</v>
      </c>
      <c r="Y38" s="104" t="s">
        <v>40</v>
      </c>
      <c r="Z38" s="104" t="s">
        <v>40</v>
      </c>
      <c r="AA38" s="105"/>
      <c r="AB38" s="155" t="s">
        <v>27</v>
      </c>
      <c r="AC38" s="155" t="s">
        <v>40</v>
      </c>
      <c r="AD38" s="155" t="s">
        <v>41</v>
      </c>
      <c r="AE38" s="104"/>
      <c r="AG38" s="136" t="s">
        <v>15</v>
      </c>
      <c r="AH38" s="136" t="s">
        <v>16</v>
      </c>
      <c r="AI38" s="107"/>
      <c r="AJ38" s="104" t="s">
        <v>40</v>
      </c>
      <c r="AK38" s="104" t="s">
        <v>41</v>
      </c>
      <c r="AL38" s="108"/>
      <c r="AM38" s="109"/>
      <c r="AO38" s="262" t="str">
        <f>informatieblad!$A$2</f>
        <v>FL20 loose</v>
      </c>
      <c r="AP38" s="262" t="str">
        <f>informatieblad!$A$3</f>
        <v>FL30 loose</v>
      </c>
      <c r="AQ38" s="263" t="str">
        <f>informatieblad!$A$4</f>
        <v>FL40 loose</v>
      </c>
      <c r="AR38" s="282"/>
      <c r="AT38" s="267"/>
      <c r="AV38" s="83" t="str">
        <f>'UC mounting materials '!$B$10</f>
        <v>Rail 30x15</v>
      </c>
      <c r="AW38" s="327">
        <f>IF(AE39&lt;1000,(AE39+100),0)*C39</f>
        <v>0</v>
      </c>
      <c r="AY38" s="265" t="s">
        <v>47</v>
      </c>
      <c r="AZ38" s="83" t="s">
        <v>23</v>
      </c>
      <c r="BA38" s="273" t="s">
        <v>23</v>
      </c>
    </row>
    <row r="39" spans="1:53" ht="15.75" thickBot="1">
      <c r="A39" s="476"/>
      <c r="B39" s="186" t="s">
        <v>23</v>
      </c>
      <c r="C39" s="110"/>
      <c r="D39" s="139"/>
      <c r="E39" s="94">
        <f>C39*W39</f>
        <v>0</v>
      </c>
      <c r="F39" s="141" t="s">
        <v>24</v>
      </c>
      <c r="G39" s="451" t="s">
        <v>25</v>
      </c>
      <c r="H39" s="484"/>
      <c r="I39" s="484"/>
      <c r="J39" s="484"/>
      <c r="K39" s="485"/>
      <c r="L39" s="176"/>
      <c r="U39" s="111"/>
      <c r="V39" s="112">
        <f>ROUND((((2*(B37+C37))*AF39)/1000000),2)</f>
        <v>0</v>
      </c>
      <c r="W39" s="158">
        <f>((IF(V39&lt;=informatieblad!$I$15,informatieblad!$I$15,IF(V39&gt;=informatieblad!$I$15,V39))))</f>
        <v>1</v>
      </c>
      <c r="X39" s="112">
        <f>ROUND((((2*(B37+C37))*AF39)/1000000),2)</f>
        <v>0</v>
      </c>
      <c r="Y39" s="112">
        <f>((IF(X39&lt;=informatieblad!$H$15,informatieblad!$H$15,IF(X39&gt;=informatieblad!$H$15,X39))))</f>
        <v>0</v>
      </c>
      <c r="Z39" s="113">
        <f>((Y39*AJ39)+(Y39*AC39))*C39</f>
        <v>0</v>
      </c>
      <c r="AA39" s="114">
        <f>((W39*AK39)+(W39*AD39))*C39</f>
        <v>0</v>
      </c>
      <c r="AB39" s="115" t="str">
        <f>G39</f>
        <v>Options None</v>
      </c>
      <c r="AC39" s="115">
        <f>VLOOKUP(G39,informatieblad!$A$37:$D$41,2,FALSE)</f>
        <v>0</v>
      </c>
      <c r="AD39" s="115">
        <f>VLOOKUP(G39,informatieblad!$A$37:$D$41,4,FALSE)</f>
        <v>0</v>
      </c>
      <c r="AE39" s="160">
        <f>(MAX(B37:C37))</f>
        <v>0</v>
      </c>
      <c r="AF39" s="161">
        <f>(MAX(AH39,AG39))</f>
        <v>0</v>
      </c>
      <c r="AG39" s="162">
        <f>ROUND((SQRT((((MAX(E37,F37))^2)+(K37^2)))),0)</f>
        <v>0</v>
      </c>
      <c r="AH39" s="163">
        <f>ROUND((SQRT((((MAX(G37,H37))^2)+(K37^2)))),0)</f>
        <v>0</v>
      </c>
      <c r="AI39" s="119">
        <f>LOOKUP(AE39,informatieblad!$C$27:$C$32,informatieblad!$A$27:$A$32)</f>
        <v>0.5</v>
      </c>
      <c r="AJ39" s="118">
        <f>VLOOKUP(AI39,informatieblad!$A$27:$M$32,6,FALSE)</f>
        <v>0</v>
      </c>
      <c r="AK39" s="118">
        <f>VLOOKUP(AI39,informatieblad!$A$27:$M$32,8,FALSE)</f>
        <v>45.1248</v>
      </c>
      <c r="AL39" s="120">
        <f>VLOOKUP(AI39,informatieblad!$A$27:$M$32,13,FALSE)</f>
        <v>4</v>
      </c>
      <c r="AM39" s="121">
        <f>ROUND((AL39*X39),1)</f>
        <v>0</v>
      </c>
      <c r="AO39" s="111">
        <f>(IF(B38=AO37,((2*B37)+(2*C37)),IF(B38=AO38,((2*B37)+(2*C37)),0)))*C39</f>
        <v>0</v>
      </c>
      <c r="AP39" s="111">
        <f>(IF(B38=AP37,((2*B37)+(2*C37)),IF(B38=AP38,((2*B37)+(2*C37)),0)))*C39</f>
        <v>0</v>
      </c>
      <c r="AQ39" s="261">
        <f>(IF(B38=AQ37,((2*B37)+(2*C37)),IF(B38=AQ38,((2*B37)+(2*C37)),0)))*C39</f>
        <v>0</v>
      </c>
      <c r="AR39" s="283">
        <f>(IF(B38=AR37,((2*B37)+(2*C37)),0))*C39</f>
        <v>0</v>
      </c>
      <c r="AT39" s="268">
        <f>K37*C39</f>
        <v>0</v>
      </c>
      <c r="AV39" s="83" t="str">
        <f>'UC mounting materials '!$B$11</f>
        <v>Rail 41x41</v>
      </c>
      <c r="AW39" s="268">
        <f>IF(AE39&gt;999,(AE39+100),0)*C39</f>
        <v>0</v>
      </c>
      <c r="AY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AZ39" s="276">
        <f>IF(AY39=AZ37,(4*C39),0)</f>
        <v>0</v>
      </c>
      <c r="BA39" s="274">
        <f>IF(AY39=BA37,(4*C39),0)</f>
        <v>0</v>
      </c>
    </row>
    <row r="40" spans="1:53" ht="5.0999999999999996" customHeight="1" thickBot="1">
      <c r="A40" s="145"/>
      <c r="B40" s="122"/>
      <c r="C40" s="122"/>
      <c r="D40" s="122"/>
      <c r="E40" s="122"/>
      <c r="F40" s="122"/>
      <c r="G40" s="122"/>
      <c r="H40" s="122"/>
      <c r="I40" s="122"/>
      <c r="J40" s="122"/>
      <c r="K40" s="146"/>
    </row>
    <row r="41" spans="1:53" ht="15" thickBot="1">
      <c r="A41" s="445"/>
      <c r="B41" s="96"/>
      <c r="C41" s="96"/>
      <c r="D41" s="96"/>
      <c r="E41" s="96">
        <f>(B41-D41)/2</f>
        <v>0</v>
      </c>
      <c r="F41" s="167">
        <f>B41-D41-E41</f>
        <v>0</v>
      </c>
      <c r="G41" s="96">
        <f>(C41-D41)/2</f>
        <v>0</v>
      </c>
      <c r="H41" s="167">
        <f>C41-D41-G41</f>
        <v>0</v>
      </c>
      <c r="I41" s="300" t="str">
        <f>IF($B41&gt;0,$K$10,"")</f>
        <v/>
      </c>
      <c r="J41" s="300" t="str">
        <f>IF($B41&gt;0,$K$11,"")</f>
        <v/>
      </c>
      <c r="K41" s="178"/>
      <c r="L41" s="345" t="s">
        <v>20</v>
      </c>
      <c r="U41" s="97" t="s">
        <v>14</v>
      </c>
      <c r="V41" s="98" t="s">
        <v>27</v>
      </c>
      <c r="W41" s="98" t="s">
        <v>28</v>
      </c>
      <c r="X41" s="98" t="s">
        <v>27</v>
      </c>
      <c r="Y41" s="98" t="s">
        <v>28</v>
      </c>
      <c r="Z41" s="98" t="s">
        <v>29</v>
      </c>
      <c r="AA41" s="66" t="s">
        <v>30</v>
      </c>
      <c r="AB41" s="153" t="s">
        <v>31</v>
      </c>
      <c r="AC41" s="153"/>
      <c r="AD41" s="153"/>
      <c r="AE41" s="100" t="s">
        <v>83</v>
      </c>
      <c r="AF41" s="98" t="s">
        <v>84</v>
      </c>
      <c r="AG41" s="98" t="s">
        <v>85</v>
      </c>
      <c r="AH41" s="100" t="s">
        <v>86</v>
      </c>
      <c r="AI41" s="100" t="s">
        <v>34</v>
      </c>
      <c r="AJ41" s="98" t="s">
        <v>32</v>
      </c>
      <c r="AK41" s="98" t="s">
        <v>32</v>
      </c>
      <c r="AL41" s="98" t="s">
        <v>35</v>
      </c>
      <c r="AM41" s="101" t="s">
        <v>36</v>
      </c>
      <c r="AO41" s="97" t="str">
        <f>informatieblad!$A$6</f>
        <v>FL20</v>
      </c>
      <c r="AP41" s="97" t="str">
        <f>informatieblad!$A$7</f>
        <v>FL30</v>
      </c>
      <c r="AQ41" s="99" t="str">
        <f>informatieblad!$A$8</f>
        <v>FL40</v>
      </c>
      <c r="AR41" s="266" t="str">
        <f>informatieblad!$A$5</f>
        <v>none</v>
      </c>
      <c r="AT41" s="266" t="s">
        <v>17</v>
      </c>
      <c r="AW41" s="266" t="s">
        <v>37</v>
      </c>
      <c r="AY41" s="269" t="s">
        <v>38</v>
      </c>
      <c r="AZ41" s="272">
        <f>informatieblad!$B$3</f>
        <v>0</v>
      </c>
      <c r="BA41" s="264">
        <f>informatieblad!$B$4</f>
        <v>0</v>
      </c>
    </row>
    <row r="42" spans="1:53">
      <c r="A42" s="481"/>
      <c r="B42" s="482" t="str">
        <f>IF($C43&gt;0,IF(MAX(B41:C41)&lt;informatieblad!$Q$4,informatieblad!$P$3,IF(MAX(B41:C41)&gt;informatieblad!$R$4,informatieblad!$P$5,informatieblad!$P$4)),"")</f>
        <v/>
      </c>
      <c r="C42" s="483"/>
      <c r="D42" s="303" t="str">
        <f>A41&amp;"-"&amp;informatieblad!$B$15&amp;"-"&amp;B41&amp;"-"&amp;C41&amp;"-"&amp;D41&amp;"-"&amp;E41&amp;"-"&amp;F41&amp;"-"&amp;G41&amp;"-"&amp;H41&amp;"-"&amp;I41&amp;"-"&amp;J41&amp;"-"&amp;K41&amp;"-"&amp;B42&amp;"-"&amp;G43</f>
        <v>-RctRR----0-0-0-0-----Options None</v>
      </c>
      <c r="E42" s="174"/>
      <c r="F42" s="174"/>
      <c r="G42" s="174"/>
      <c r="H42" s="469" t="s">
        <v>82</v>
      </c>
      <c r="I42" s="470"/>
      <c r="J42" s="470"/>
      <c r="K42" s="191" t="str">
        <f>(IF($C43&gt;0,(IF(MAX((MAX(B41,C41)-D41)/2,(D41-MAX(B41,C41)))*1.732&gt;270,MAX((MAX(B41,C41)-D41)/2,(D162-MAX(B41,C41)))*1.732,270)+30),""))</f>
        <v/>
      </c>
      <c r="L42" s="83"/>
      <c r="U42" s="103">
        <f>A41</f>
        <v>0</v>
      </c>
      <c r="V42" s="104" t="s">
        <v>39</v>
      </c>
      <c r="W42" s="104" t="s">
        <v>39</v>
      </c>
      <c r="X42" s="104" t="s">
        <v>40</v>
      </c>
      <c r="Y42" s="104" t="s">
        <v>40</v>
      </c>
      <c r="Z42" s="104" t="s">
        <v>40</v>
      </c>
      <c r="AA42" s="105"/>
      <c r="AB42" s="155" t="s">
        <v>27</v>
      </c>
      <c r="AC42" s="155" t="s">
        <v>40</v>
      </c>
      <c r="AD42" s="155" t="s">
        <v>41</v>
      </c>
      <c r="AE42" s="104"/>
      <c r="AG42" s="136" t="s">
        <v>15</v>
      </c>
      <c r="AH42" s="136" t="s">
        <v>16</v>
      </c>
      <c r="AI42" s="107"/>
      <c r="AJ42" s="104" t="s">
        <v>40</v>
      </c>
      <c r="AK42" s="104" t="s">
        <v>41</v>
      </c>
      <c r="AL42" s="108"/>
      <c r="AM42" s="109"/>
      <c r="AO42" s="262" t="str">
        <f>informatieblad!$A$2</f>
        <v>FL20 loose</v>
      </c>
      <c r="AP42" s="262" t="str">
        <f>informatieblad!$A$3</f>
        <v>FL30 loose</v>
      </c>
      <c r="AQ42" s="263" t="str">
        <f>informatieblad!$A$4</f>
        <v>FL40 loose</v>
      </c>
      <c r="AR42" s="282"/>
      <c r="AT42" s="267"/>
      <c r="AV42" s="83" t="str">
        <f>'UC mounting materials '!$B$10</f>
        <v>Rail 30x15</v>
      </c>
      <c r="AW42" s="327">
        <f>IF(AE43&lt;1000,(AE43+100),0)*C43</f>
        <v>0</v>
      </c>
      <c r="AY42" s="265" t="s">
        <v>47</v>
      </c>
      <c r="AZ42" s="83" t="s">
        <v>23</v>
      </c>
      <c r="BA42" s="273" t="s">
        <v>23</v>
      </c>
    </row>
    <row r="43" spans="1:53" ht="15.75" thickBot="1">
      <c r="A43" s="476"/>
      <c r="B43" s="186" t="s">
        <v>23</v>
      </c>
      <c r="C43" s="110"/>
      <c r="D43" s="139"/>
      <c r="E43" s="94">
        <f>C43*W43</f>
        <v>0</v>
      </c>
      <c r="F43" s="141" t="s">
        <v>24</v>
      </c>
      <c r="G43" s="451" t="s">
        <v>25</v>
      </c>
      <c r="H43" s="484"/>
      <c r="I43" s="484"/>
      <c r="J43" s="484"/>
      <c r="K43" s="485"/>
      <c r="L43" s="176"/>
      <c r="U43" s="111"/>
      <c r="V43" s="112">
        <f>ROUND((((2*(B41+C41))*AF43)/1000000),2)</f>
        <v>0</v>
      </c>
      <c r="W43" s="158">
        <f>((IF(V43&lt;=informatieblad!$I$15,informatieblad!$I$15,IF(V43&gt;=informatieblad!$I$15,V43))))</f>
        <v>1</v>
      </c>
      <c r="X43" s="112">
        <f>ROUND((((2*(B41+C41))*AF43)/1000000),2)</f>
        <v>0</v>
      </c>
      <c r="Y43" s="112">
        <f>((IF(X43&lt;=informatieblad!$H$15,informatieblad!$H$15,IF(X43&gt;=informatieblad!$H$15,X43))))</f>
        <v>0</v>
      </c>
      <c r="Z43" s="113">
        <f>((Y43*AJ43)+(Y43*AC43))*C43</f>
        <v>0</v>
      </c>
      <c r="AA43" s="114">
        <f>((W43*AK43)+(W43*AD43))*C43</f>
        <v>0</v>
      </c>
      <c r="AB43" s="115" t="str">
        <f>G43</f>
        <v>Options None</v>
      </c>
      <c r="AC43" s="115">
        <f>VLOOKUP(G43,informatieblad!$A$37:$D$41,2,FALSE)</f>
        <v>0</v>
      </c>
      <c r="AD43" s="115">
        <f>VLOOKUP(G43,informatieblad!$A$37:$D$41,4,FALSE)</f>
        <v>0</v>
      </c>
      <c r="AE43" s="160">
        <f>(MAX(B41:C41))</f>
        <v>0</v>
      </c>
      <c r="AF43" s="161">
        <f>(MAX(AH43,AG43))</f>
        <v>0</v>
      </c>
      <c r="AG43" s="162">
        <f>ROUND((SQRT((((MAX(E41,F41))^2)+(K41^2)))),0)</f>
        <v>0</v>
      </c>
      <c r="AH43" s="163">
        <f>ROUND((SQRT((((MAX(G41,H41))^2)+(K41^2)))),0)</f>
        <v>0</v>
      </c>
      <c r="AI43" s="119">
        <f>LOOKUP(AE43,informatieblad!$C$27:$C$32,informatieblad!$A$27:$A$32)</f>
        <v>0.5</v>
      </c>
      <c r="AJ43" s="118">
        <f>VLOOKUP(AI43,informatieblad!$A$27:$M$32,6,FALSE)</f>
        <v>0</v>
      </c>
      <c r="AK43" s="118">
        <f>VLOOKUP(AI43,informatieblad!$A$27:$M$32,8,FALSE)</f>
        <v>45.1248</v>
      </c>
      <c r="AL43" s="120">
        <f>VLOOKUP(AI43,informatieblad!$A$27:$M$32,13,FALSE)</f>
        <v>4</v>
      </c>
      <c r="AM43" s="121">
        <f>ROUND((AL43*X43),1)</f>
        <v>0</v>
      </c>
      <c r="AO43" s="111">
        <f>(IF(B42=AO41,((2*B41)+(2*C41)),IF(B42=AO42,((2*B41)+(2*C41)),0)))*C43</f>
        <v>0</v>
      </c>
      <c r="AP43" s="111">
        <f>(IF(B42=AP41,((2*B41)+(2*C41)),IF(B42=AP42,((2*B41)+(2*C41)),0)))*C43</f>
        <v>0</v>
      </c>
      <c r="AQ43" s="261">
        <f>(IF(B42=AQ41,((2*B41)+(2*C41)),IF(B42=AQ42,((2*B41)+(2*C41)),0)))*C43</f>
        <v>0</v>
      </c>
      <c r="AR43" s="283">
        <f>(IF(B42=AR41,((2*B41)+(2*C41)),0))*C43</f>
        <v>0</v>
      </c>
      <c r="AT43" s="268">
        <f>K41*C43</f>
        <v>0</v>
      </c>
      <c r="AV43" s="83" t="str">
        <f>'UC mounting materials '!$B$11</f>
        <v>Rail 41x41</v>
      </c>
      <c r="AW43" s="268">
        <f>IF(AE43&gt;999,(AE43+100),0)*C43</f>
        <v>0</v>
      </c>
      <c r="AY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AZ43" s="276">
        <f>IF(AY43=AZ41,(4*C43),0)</f>
        <v>0</v>
      </c>
      <c r="BA43" s="274">
        <f>IF(AY43=BA41,(4*C43),0)</f>
        <v>0</v>
      </c>
    </row>
    <row r="44" spans="1:53" ht="5.0999999999999996" customHeight="1" thickBot="1">
      <c r="A44" s="145"/>
      <c r="B44" s="122"/>
      <c r="C44" s="122"/>
      <c r="D44" s="122"/>
      <c r="E44" s="122"/>
      <c r="F44" s="122"/>
      <c r="G44" s="122"/>
      <c r="H44" s="122"/>
      <c r="I44" s="122"/>
      <c r="J44" s="122"/>
      <c r="K44" s="146"/>
    </row>
    <row r="45" spans="1:53" ht="15" thickBot="1">
      <c r="A45" s="445"/>
      <c r="B45" s="96"/>
      <c r="C45" s="96"/>
      <c r="D45" s="96"/>
      <c r="E45" s="96">
        <f>(B45-D45)/2</f>
        <v>0</v>
      </c>
      <c r="F45" s="167">
        <f>B45-D45-E45</f>
        <v>0</v>
      </c>
      <c r="G45" s="96">
        <f>(C45-D45)/2</f>
        <v>0</v>
      </c>
      <c r="H45" s="167">
        <f>C45-D45-G45</f>
        <v>0</v>
      </c>
      <c r="I45" s="300" t="str">
        <f>IF($B45&gt;0,$K$10,"")</f>
        <v/>
      </c>
      <c r="J45" s="300" t="str">
        <f>IF($B45&gt;0,$K$11,"")</f>
        <v/>
      </c>
      <c r="K45" s="178"/>
      <c r="L45" s="345" t="s">
        <v>20</v>
      </c>
      <c r="U45" s="97" t="s">
        <v>14</v>
      </c>
      <c r="V45" s="98" t="s">
        <v>27</v>
      </c>
      <c r="W45" s="98" t="s">
        <v>28</v>
      </c>
      <c r="X45" s="98" t="s">
        <v>27</v>
      </c>
      <c r="Y45" s="98" t="s">
        <v>28</v>
      </c>
      <c r="Z45" s="98" t="s">
        <v>29</v>
      </c>
      <c r="AA45" s="66" t="s">
        <v>30</v>
      </c>
      <c r="AB45" s="153" t="s">
        <v>31</v>
      </c>
      <c r="AC45" s="153"/>
      <c r="AD45" s="153"/>
      <c r="AE45" s="100" t="s">
        <v>83</v>
      </c>
      <c r="AF45" s="98" t="s">
        <v>84</v>
      </c>
      <c r="AG45" s="98" t="s">
        <v>85</v>
      </c>
      <c r="AH45" s="100" t="s">
        <v>86</v>
      </c>
      <c r="AI45" s="100" t="s">
        <v>34</v>
      </c>
      <c r="AJ45" s="98" t="s">
        <v>32</v>
      </c>
      <c r="AK45" s="98" t="s">
        <v>32</v>
      </c>
      <c r="AL45" s="98" t="s">
        <v>35</v>
      </c>
      <c r="AM45" s="101" t="s">
        <v>36</v>
      </c>
      <c r="AO45" s="97" t="str">
        <f>informatieblad!$A$6</f>
        <v>FL20</v>
      </c>
      <c r="AP45" s="97" t="str">
        <f>informatieblad!$A$7</f>
        <v>FL30</v>
      </c>
      <c r="AQ45" s="99" t="str">
        <f>informatieblad!$A$8</f>
        <v>FL40</v>
      </c>
      <c r="AR45" s="266" t="str">
        <f>informatieblad!$A$5</f>
        <v>none</v>
      </c>
      <c r="AT45" s="266" t="s">
        <v>17</v>
      </c>
      <c r="AW45" s="266" t="s">
        <v>37</v>
      </c>
      <c r="AY45" s="269" t="s">
        <v>38</v>
      </c>
      <c r="AZ45" s="272">
        <f>informatieblad!$B$3</f>
        <v>0</v>
      </c>
      <c r="BA45" s="264">
        <f>informatieblad!$B$4</f>
        <v>0</v>
      </c>
    </row>
    <row r="46" spans="1:53">
      <c r="A46" s="481"/>
      <c r="B46" s="482" t="str">
        <f>IF($C47&gt;0,IF(MAX(B45:C45)&lt;informatieblad!$Q$4,informatieblad!$P$3,IF(MAX(B45:C45)&gt;informatieblad!$R$4,informatieblad!$P$5,informatieblad!$P$4)),"")</f>
        <v/>
      </c>
      <c r="C46" s="483"/>
      <c r="D46" s="303" t="str">
        <f>A45&amp;"-"&amp;informatieblad!$B$15&amp;"-"&amp;B45&amp;"-"&amp;C45&amp;"-"&amp;D45&amp;"-"&amp;E45&amp;"-"&amp;F45&amp;"-"&amp;G45&amp;"-"&amp;H45&amp;"-"&amp;I45&amp;"-"&amp;J45&amp;"-"&amp;K45&amp;"-"&amp;B46&amp;"-"&amp;G47</f>
        <v>-RctRR----0-0-0-0-----Options None</v>
      </c>
      <c r="E46" s="174"/>
      <c r="F46" s="174"/>
      <c r="G46" s="174"/>
      <c r="H46" s="469" t="s">
        <v>82</v>
      </c>
      <c r="I46" s="470"/>
      <c r="J46" s="470"/>
      <c r="K46" s="191" t="str">
        <f>(IF($C47&gt;0,(IF(MAX((MAX(B45,C45)-D45)/2,(D45-MAX(B45,C45)))*1.732&gt;270,MAX((MAX(B45,C45)-D45)/2,(D166-MAX(B45,C45)))*1.732,270)+30),""))</f>
        <v/>
      </c>
      <c r="L46" s="83"/>
      <c r="U46" s="103">
        <f>A45</f>
        <v>0</v>
      </c>
      <c r="V46" s="104" t="s">
        <v>39</v>
      </c>
      <c r="W46" s="104" t="s">
        <v>39</v>
      </c>
      <c r="X46" s="104" t="s">
        <v>40</v>
      </c>
      <c r="Y46" s="104" t="s">
        <v>40</v>
      </c>
      <c r="Z46" s="104" t="s">
        <v>40</v>
      </c>
      <c r="AA46" s="105"/>
      <c r="AB46" s="155" t="s">
        <v>27</v>
      </c>
      <c r="AC46" s="155" t="s">
        <v>40</v>
      </c>
      <c r="AD46" s="155" t="s">
        <v>41</v>
      </c>
      <c r="AE46" s="104"/>
      <c r="AG46" s="136" t="s">
        <v>15</v>
      </c>
      <c r="AH46" s="136" t="s">
        <v>16</v>
      </c>
      <c r="AI46" s="107"/>
      <c r="AJ46" s="104" t="s">
        <v>40</v>
      </c>
      <c r="AK46" s="104" t="s">
        <v>41</v>
      </c>
      <c r="AL46" s="108"/>
      <c r="AM46" s="109"/>
      <c r="AO46" s="262" t="str">
        <f>informatieblad!$A$2</f>
        <v>FL20 loose</v>
      </c>
      <c r="AP46" s="262" t="str">
        <f>informatieblad!$A$3</f>
        <v>FL30 loose</v>
      </c>
      <c r="AQ46" s="263" t="str">
        <f>informatieblad!$A$4</f>
        <v>FL40 loose</v>
      </c>
      <c r="AR46" s="282"/>
      <c r="AT46" s="267"/>
      <c r="AV46" s="83" t="str">
        <f>'UC mounting materials '!$B$10</f>
        <v>Rail 30x15</v>
      </c>
      <c r="AW46" s="327">
        <f>IF(AE47&lt;1000,(AE47+100),0)*C47</f>
        <v>0</v>
      </c>
      <c r="AY46" s="265" t="s">
        <v>47</v>
      </c>
      <c r="AZ46" s="83" t="s">
        <v>23</v>
      </c>
      <c r="BA46" s="273" t="s">
        <v>23</v>
      </c>
    </row>
    <row r="47" spans="1:53" ht="15.75" thickBot="1">
      <c r="A47" s="476"/>
      <c r="B47" s="186" t="s">
        <v>23</v>
      </c>
      <c r="C47" s="110"/>
      <c r="D47" s="139"/>
      <c r="E47" s="94">
        <f>C47*W47</f>
        <v>0</v>
      </c>
      <c r="F47" s="141" t="s">
        <v>24</v>
      </c>
      <c r="G47" s="451" t="s">
        <v>25</v>
      </c>
      <c r="H47" s="484"/>
      <c r="I47" s="484"/>
      <c r="J47" s="484"/>
      <c r="K47" s="485"/>
      <c r="L47" s="176"/>
      <c r="U47" s="111"/>
      <c r="V47" s="112">
        <f>ROUND((((2*(B45+C45))*AF47)/1000000),2)</f>
        <v>0</v>
      </c>
      <c r="W47" s="158">
        <f>((IF(V47&lt;=informatieblad!$I$15,informatieblad!$I$15,IF(V47&gt;=informatieblad!$I$15,V47))))</f>
        <v>1</v>
      </c>
      <c r="X47" s="112">
        <f>ROUND((((2*(B45+C45))*AF47)/1000000),2)</f>
        <v>0</v>
      </c>
      <c r="Y47" s="112">
        <f>((IF(X47&lt;=informatieblad!$H$15,informatieblad!$H$15,IF(X47&gt;=informatieblad!$H$15,X47))))</f>
        <v>0</v>
      </c>
      <c r="Z47" s="113">
        <f>((Y47*AJ47)+(Y47*AC47))*C47</f>
        <v>0</v>
      </c>
      <c r="AA47" s="114">
        <f>((W47*AK47)+(W47*AD47))*C47</f>
        <v>0</v>
      </c>
      <c r="AB47" s="115" t="str">
        <f>G47</f>
        <v>Options None</v>
      </c>
      <c r="AC47" s="115">
        <f>VLOOKUP(G47,informatieblad!$A$37:$D$41,2,FALSE)</f>
        <v>0</v>
      </c>
      <c r="AD47" s="115">
        <f>VLOOKUP(G47,informatieblad!$A$37:$D$41,4,FALSE)</f>
        <v>0</v>
      </c>
      <c r="AE47" s="160">
        <f>(MAX(B45:C45))</f>
        <v>0</v>
      </c>
      <c r="AF47" s="161">
        <f>(MAX(AH47,AG47))</f>
        <v>0</v>
      </c>
      <c r="AG47" s="162">
        <f>ROUND((SQRT((((MAX(E45,F45))^2)+(K45^2)))),0)</f>
        <v>0</v>
      </c>
      <c r="AH47" s="163">
        <f>ROUND((SQRT((((MAX(G45,H45))^2)+(K45^2)))),0)</f>
        <v>0</v>
      </c>
      <c r="AI47" s="119">
        <f>LOOKUP(AE47,informatieblad!$C$27:$C$32,informatieblad!$A$27:$A$32)</f>
        <v>0.5</v>
      </c>
      <c r="AJ47" s="118">
        <f>VLOOKUP(AI47,informatieblad!$A$27:$M$32,6,FALSE)</f>
        <v>0</v>
      </c>
      <c r="AK47" s="118">
        <f>VLOOKUP(AI47,informatieblad!$A$27:$M$32,8,FALSE)</f>
        <v>45.1248</v>
      </c>
      <c r="AL47" s="120">
        <f>VLOOKUP(AI47,informatieblad!$A$27:$M$32,13,FALSE)</f>
        <v>4</v>
      </c>
      <c r="AM47" s="121">
        <f>ROUND((AL47*X47),1)</f>
        <v>0</v>
      </c>
      <c r="AO47" s="111">
        <f>(IF(B46=AO45,((2*B45)+(2*C45)),IF(B46=AO46,((2*B45)+(2*C45)),0)))*C47</f>
        <v>0</v>
      </c>
      <c r="AP47" s="111">
        <f>(IF(B46=AP45,((2*B45)+(2*C45)),IF(B46=AP46,((2*B45)+(2*C45)),0)))*C47</f>
        <v>0</v>
      </c>
      <c r="AQ47" s="261">
        <f>(IF(B46=AQ45,((2*B45)+(2*C45)),IF(B46=AQ46,((2*B45)+(2*C45)),0)))*C47</f>
        <v>0</v>
      </c>
      <c r="AR47" s="283">
        <f>(IF(B46=AR45,((2*B45)+(2*C45)),0))*C47</f>
        <v>0</v>
      </c>
      <c r="AT47" s="268">
        <f>K45*C47</f>
        <v>0</v>
      </c>
      <c r="AV47" s="83" t="str">
        <f>'UC mounting materials '!$B$11</f>
        <v>Rail 41x41</v>
      </c>
      <c r="AW47" s="268">
        <f>IF(AE47&gt;999,(AE47+100),0)*C47</f>
        <v>0</v>
      </c>
      <c r="AY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AZ47" s="276">
        <f>IF(AY47=AZ45,(4*C47),0)</f>
        <v>0</v>
      </c>
      <c r="BA47" s="274">
        <f>IF(AY47=BA45,(4*C47),0)</f>
        <v>0</v>
      </c>
    </row>
    <row r="48" spans="1:53" ht="5.0999999999999996" customHeight="1" thickBot="1">
      <c r="A48" s="145"/>
      <c r="B48" s="122"/>
      <c r="C48" s="122"/>
      <c r="D48" s="122"/>
      <c r="E48" s="122"/>
      <c r="F48" s="122"/>
      <c r="G48" s="122"/>
      <c r="H48" s="122"/>
      <c r="I48" s="122"/>
      <c r="J48" s="122"/>
      <c r="K48" s="146"/>
    </row>
    <row r="49" spans="1:53" ht="15" thickBot="1">
      <c r="A49" s="445"/>
      <c r="B49" s="96"/>
      <c r="C49" s="96"/>
      <c r="D49" s="96"/>
      <c r="E49" s="96">
        <f>(B49-D49)/2</f>
        <v>0</v>
      </c>
      <c r="F49" s="167">
        <f>B49-D49-E49</f>
        <v>0</v>
      </c>
      <c r="G49" s="96">
        <f>(C49-D49)/2</f>
        <v>0</v>
      </c>
      <c r="H49" s="167">
        <f>C49-D49-G49</f>
        <v>0</v>
      </c>
      <c r="I49" s="300" t="str">
        <f>IF($B49&gt;0,$K$10,"")</f>
        <v/>
      </c>
      <c r="J49" s="300" t="str">
        <f>IF($B49&gt;0,$K$11,"")</f>
        <v/>
      </c>
      <c r="K49" s="178"/>
      <c r="L49" s="345" t="s">
        <v>20</v>
      </c>
      <c r="U49" s="97" t="s">
        <v>14</v>
      </c>
      <c r="V49" s="98" t="s">
        <v>27</v>
      </c>
      <c r="W49" s="98" t="s">
        <v>28</v>
      </c>
      <c r="X49" s="98" t="s">
        <v>27</v>
      </c>
      <c r="Y49" s="98" t="s">
        <v>28</v>
      </c>
      <c r="Z49" s="98" t="s">
        <v>29</v>
      </c>
      <c r="AA49" s="66" t="s">
        <v>30</v>
      </c>
      <c r="AB49" s="153" t="s">
        <v>31</v>
      </c>
      <c r="AC49" s="153"/>
      <c r="AD49" s="153"/>
      <c r="AE49" s="100" t="s">
        <v>83</v>
      </c>
      <c r="AF49" s="98" t="s">
        <v>84</v>
      </c>
      <c r="AG49" s="98" t="s">
        <v>85</v>
      </c>
      <c r="AH49" s="100" t="s">
        <v>86</v>
      </c>
      <c r="AI49" s="100" t="s">
        <v>34</v>
      </c>
      <c r="AJ49" s="98" t="s">
        <v>32</v>
      </c>
      <c r="AK49" s="98" t="s">
        <v>32</v>
      </c>
      <c r="AL49" s="98" t="s">
        <v>35</v>
      </c>
      <c r="AM49" s="101" t="s">
        <v>36</v>
      </c>
      <c r="AO49" s="97" t="str">
        <f>informatieblad!$A$6</f>
        <v>FL20</v>
      </c>
      <c r="AP49" s="97" t="str">
        <f>informatieblad!$A$7</f>
        <v>FL30</v>
      </c>
      <c r="AQ49" s="99" t="str">
        <f>informatieblad!$A$8</f>
        <v>FL40</v>
      </c>
      <c r="AR49" s="266" t="str">
        <f>informatieblad!$A$5</f>
        <v>none</v>
      </c>
      <c r="AT49" s="266" t="s">
        <v>17</v>
      </c>
      <c r="AW49" s="266" t="s">
        <v>37</v>
      </c>
      <c r="AY49" s="269" t="s">
        <v>38</v>
      </c>
      <c r="AZ49" s="272">
        <f>informatieblad!$B$3</f>
        <v>0</v>
      </c>
      <c r="BA49" s="264">
        <f>informatieblad!$B$4</f>
        <v>0</v>
      </c>
    </row>
    <row r="50" spans="1:53">
      <c r="A50" s="481"/>
      <c r="B50" s="482" t="str">
        <f>IF($C51&gt;0,IF(MAX(B49:C49)&lt;informatieblad!$Q$4,informatieblad!$P$3,IF(MAX(B49:C49)&gt;informatieblad!$R$4,informatieblad!$P$5,informatieblad!$P$4)),"")</f>
        <v/>
      </c>
      <c r="C50" s="483"/>
      <c r="D50" s="190" t="str">
        <f>A49&amp;"-"&amp;informatieblad!$B$15&amp;"-"&amp;B49&amp;"-"&amp;C49&amp;"-"&amp;D49&amp;"-"&amp;E49&amp;"-"&amp;F49&amp;"-"&amp;G49&amp;"-"&amp;H49&amp;"-"&amp;I49&amp;"-"&amp;J49&amp;"-"&amp;K49&amp;"-"&amp;B50&amp;"-"&amp;G51</f>
        <v>-RctRR----0-0-0-0-----Options None</v>
      </c>
      <c r="E50" s="174"/>
      <c r="F50" s="174"/>
      <c r="G50" s="174"/>
      <c r="H50" s="469" t="s">
        <v>82</v>
      </c>
      <c r="I50" s="470"/>
      <c r="J50" s="470"/>
      <c r="K50" s="191" t="str">
        <f>(IF($C51&gt;0,(IF(MAX((MAX(B49,C49)-D49)/2,(D49-MAX(B49,C49)))*1.732&gt;270,MAX((MAX(B49,C49)-D49)/2,(D170-MAX(B49,C49)))*1.732,270)+30),""))</f>
        <v/>
      </c>
      <c r="L50" s="83"/>
      <c r="U50" s="103">
        <f>A49</f>
        <v>0</v>
      </c>
      <c r="V50" s="104" t="s">
        <v>39</v>
      </c>
      <c r="W50" s="104" t="s">
        <v>39</v>
      </c>
      <c r="X50" s="104" t="s">
        <v>40</v>
      </c>
      <c r="Y50" s="104" t="s">
        <v>40</v>
      </c>
      <c r="Z50" s="104" t="s">
        <v>40</v>
      </c>
      <c r="AA50" s="105"/>
      <c r="AB50" s="155" t="s">
        <v>27</v>
      </c>
      <c r="AC50" s="155" t="s">
        <v>40</v>
      </c>
      <c r="AD50" s="155" t="s">
        <v>41</v>
      </c>
      <c r="AE50" s="104"/>
      <c r="AG50" s="136" t="s">
        <v>15</v>
      </c>
      <c r="AH50" s="136" t="s">
        <v>16</v>
      </c>
      <c r="AI50" s="107"/>
      <c r="AJ50" s="104" t="s">
        <v>40</v>
      </c>
      <c r="AK50" s="104" t="s">
        <v>41</v>
      </c>
      <c r="AL50" s="108"/>
      <c r="AM50" s="109"/>
      <c r="AO50" s="262" t="str">
        <f>informatieblad!$A$2</f>
        <v>FL20 loose</v>
      </c>
      <c r="AP50" s="262" t="str">
        <f>informatieblad!$A$3</f>
        <v>FL30 loose</v>
      </c>
      <c r="AQ50" s="263" t="str">
        <f>informatieblad!$A$4</f>
        <v>FL40 loose</v>
      </c>
      <c r="AR50" s="282"/>
      <c r="AT50" s="267"/>
      <c r="AV50" s="83" t="str">
        <f>'UC mounting materials '!$B$10</f>
        <v>Rail 30x15</v>
      </c>
      <c r="AW50" s="327">
        <f>IF(AE51&lt;1000,(AE51+100),0)*C51</f>
        <v>0</v>
      </c>
      <c r="AY50" s="265" t="s">
        <v>47</v>
      </c>
      <c r="AZ50" s="83" t="s">
        <v>23</v>
      </c>
      <c r="BA50" s="273" t="s">
        <v>23</v>
      </c>
    </row>
    <row r="51" spans="1:53" ht="15.75" thickBot="1">
      <c r="A51" s="476"/>
      <c r="B51" s="186" t="s">
        <v>23</v>
      </c>
      <c r="C51" s="110"/>
      <c r="D51" s="139"/>
      <c r="E51" s="94">
        <f>C51*W51</f>
        <v>0</v>
      </c>
      <c r="F51" s="141" t="s">
        <v>24</v>
      </c>
      <c r="G51" s="451" t="s">
        <v>25</v>
      </c>
      <c r="H51" s="484"/>
      <c r="I51" s="484"/>
      <c r="J51" s="484"/>
      <c r="K51" s="485"/>
      <c r="L51" s="176"/>
      <c r="U51" s="111"/>
      <c r="V51" s="112">
        <f>ROUND((((2*(B49+C49))*AF51)/1000000),2)</f>
        <v>0</v>
      </c>
      <c r="W51" s="158">
        <f>((IF(V51&lt;=informatieblad!$I$15,informatieblad!$I$15,IF(V51&gt;=informatieblad!$I$15,V51))))</f>
        <v>1</v>
      </c>
      <c r="X51" s="112">
        <f>ROUND((((2*(B49+C49))*AF51)/1000000),2)</f>
        <v>0</v>
      </c>
      <c r="Y51" s="112">
        <f>((IF(X51&lt;=informatieblad!$H$15,informatieblad!$H$15,IF(X51&gt;=informatieblad!$H$15,X51))))</f>
        <v>0</v>
      </c>
      <c r="Z51" s="113">
        <f>((Y51*AJ51)+(Y51*AC51))*C51</f>
        <v>0</v>
      </c>
      <c r="AA51" s="114">
        <f>((W51*AK51)+(W51*AD51))*C51</f>
        <v>0</v>
      </c>
      <c r="AB51" s="115" t="str">
        <f>G51</f>
        <v>Options None</v>
      </c>
      <c r="AC51" s="115">
        <f>VLOOKUP(G51,informatieblad!$A$37:$D$41,2,FALSE)</f>
        <v>0</v>
      </c>
      <c r="AD51" s="115">
        <f>VLOOKUP(G51,informatieblad!$A$37:$D$41,4,FALSE)</f>
        <v>0</v>
      </c>
      <c r="AE51" s="160">
        <f>(MAX(B49:C49))</f>
        <v>0</v>
      </c>
      <c r="AF51" s="161">
        <f>(MAX(AH51,AG51))</f>
        <v>0</v>
      </c>
      <c r="AG51" s="162">
        <f>ROUND((SQRT((((MAX(E49,F49))^2)+(K49^2)))),0)</f>
        <v>0</v>
      </c>
      <c r="AH51" s="163">
        <f>ROUND((SQRT((((MAX(G49,H49))^2)+(K49^2)))),0)</f>
        <v>0</v>
      </c>
      <c r="AI51" s="119">
        <f>LOOKUP(AE51,informatieblad!$C$27:$C$32,informatieblad!$A$27:$A$32)</f>
        <v>0.5</v>
      </c>
      <c r="AJ51" s="118">
        <f>VLOOKUP(AI51,informatieblad!$A$27:$M$32,6,FALSE)</f>
        <v>0</v>
      </c>
      <c r="AK51" s="118">
        <f>VLOOKUP(AI51,informatieblad!$A$27:$M$32,8,FALSE)</f>
        <v>45.1248</v>
      </c>
      <c r="AL51" s="120">
        <f>VLOOKUP(AI51,informatieblad!$A$27:$M$32,13,FALSE)</f>
        <v>4</v>
      </c>
      <c r="AM51" s="121">
        <f>ROUND((AL51*X51),1)</f>
        <v>0</v>
      </c>
      <c r="AO51" s="111">
        <f>(IF(B50=AO49,((2*B49)+(2*C49)),IF(B50=AO50,((2*B49)+(2*C49)),0)))*C51</f>
        <v>0</v>
      </c>
      <c r="AP51" s="111">
        <f>(IF(B50=AP49,((2*B49)+(2*C49)),IF(B50=AP50,((2*B49)+(2*C49)),0)))*C51</f>
        <v>0</v>
      </c>
      <c r="AQ51" s="261">
        <f>(IF(B50=AQ49,((2*B49)+(2*C49)),IF(B50=AQ50,((2*B49)+(2*C49)),0)))*C51</f>
        <v>0</v>
      </c>
      <c r="AR51" s="283">
        <f>(IF(B50=AR49,((2*B49)+(2*C49)),0))*C51</f>
        <v>0</v>
      </c>
      <c r="AT51" s="268">
        <f>K49*C51</f>
        <v>0</v>
      </c>
      <c r="AV51" s="83" t="str">
        <f>'UC mounting materials '!$B$11</f>
        <v>Rail 41x41</v>
      </c>
      <c r="AW51" s="268">
        <f>IF(AE51&gt;999,(AE51+100),0)*C51</f>
        <v>0</v>
      </c>
      <c r="AY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AZ51" s="276">
        <f>IF(AY51=AZ49,(4*C51),0)</f>
        <v>0</v>
      </c>
      <c r="BA51" s="274">
        <f>IF(AY51=BA49,(4*C51),0)</f>
        <v>0</v>
      </c>
    </row>
    <row r="52" spans="1:53" ht="5.0999999999999996" customHeight="1" thickBot="1">
      <c r="A52" s="145"/>
      <c r="B52" s="122"/>
      <c r="C52" s="122"/>
      <c r="D52" s="122"/>
      <c r="E52" s="122"/>
      <c r="F52" s="122"/>
      <c r="G52" s="122"/>
      <c r="H52" s="122"/>
      <c r="I52" s="122"/>
      <c r="J52" s="122"/>
      <c r="K52" s="146"/>
    </row>
    <row r="53" spans="1:53" ht="15" thickBot="1">
      <c r="A53" s="445"/>
      <c r="B53" s="96"/>
      <c r="C53" s="96"/>
      <c r="D53" s="96"/>
      <c r="E53" s="96">
        <f>(B53-D53)/2</f>
        <v>0</v>
      </c>
      <c r="F53" s="167">
        <f>B53-D53-E53</f>
        <v>0</v>
      </c>
      <c r="G53" s="96">
        <f>(C53-D53)/2</f>
        <v>0</v>
      </c>
      <c r="H53" s="167">
        <f>C53-D53-G53</f>
        <v>0</v>
      </c>
      <c r="I53" s="300" t="str">
        <f>IF($B53&gt;0,$K$10,"")</f>
        <v/>
      </c>
      <c r="J53" s="300" t="str">
        <f>IF($B53&gt;0,$K$11,"")</f>
        <v/>
      </c>
      <c r="K53" s="178"/>
      <c r="L53" s="345" t="s">
        <v>20</v>
      </c>
      <c r="U53" s="97" t="s">
        <v>14</v>
      </c>
      <c r="V53" s="98" t="s">
        <v>27</v>
      </c>
      <c r="W53" s="98" t="s">
        <v>28</v>
      </c>
      <c r="X53" s="98" t="s">
        <v>27</v>
      </c>
      <c r="Y53" s="98" t="s">
        <v>28</v>
      </c>
      <c r="Z53" s="98" t="s">
        <v>29</v>
      </c>
      <c r="AA53" s="66" t="s">
        <v>30</v>
      </c>
      <c r="AB53" s="153" t="s">
        <v>31</v>
      </c>
      <c r="AC53" s="153"/>
      <c r="AD53" s="153"/>
      <c r="AE53" s="100" t="s">
        <v>83</v>
      </c>
      <c r="AF53" s="98" t="s">
        <v>84</v>
      </c>
      <c r="AG53" s="98" t="s">
        <v>85</v>
      </c>
      <c r="AH53" s="100" t="s">
        <v>86</v>
      </c>
      <c r="AI53" s="100" t="s">
        <v>34</v>
      </c>
      <c r="AJ53" s="98" t="s">
        <v>32</v>
      </c>
      <c r="AK53" s="98" t="s">
        <v>32</v>
      </c>
      <c r="AL53" s="98" t="s">
        <v>35</v>
      </c>
      <c r="AM53" s="101" t="s">
        <v>36</v>
      </c>
      <c r="AO53" s="97" t="str">
        <f>informatieblad!$A$6</f>
        <v>FL20</v>
      </c>
      <c r="AP53" s="97" t="str">
        <f>informatieblad!$A$7</f>
        <v>FL30</v>
      </c>
      <c r="AQ53" s="99" t="str">
        <f>informatieblad!$A$8</f>
        <v>FL40</v>
      </c>
      <c r="AR53" s="266" t="str">
        <f>informatieblad!$A$5</f>
        <v>none</v>
      </c>
      <c r="AS53" s="62"/>
      <c r="AT53" s="266" t="s">
        <v>17</v>
      </c>
      <c r="AW53" s="266" t="s">
        <v>37</v>
      </c>
      <c r="AY53" s="269" t="s">
        <v>38</v>
      </c>
      <c r="AZ53" s="272">
        <f>informatieblad!$B$3</f>
        <v>0</v>
      </c>
      <c r="BA53" s="264">
        <f>informatieblad!$B$4</f>
        <v>0</v>
      </c>
    </row>
    <row r="54" spans="1:53">
      <c r="A54" s="481"/>
      <c r="B54" s="482" t="str">
        <f>IF($C55&gt;0,IF(MAX(B53:C53)&lt;informatieblad!$Q$4,informatieblad!$P$3,IF(MAX(B53:C53)&gt;informatieblad!$R$4,informatieblad!$P$5,informatieblad!$P$4)),"")</f>
        <v/>
      </c>
      <c r="C54" s="483"/>
      <c r="D54" s="303" t="str">
        <f>A53&amp;"-"&amp;informatieblad!$B$15&amp;"-"&amp;B53&amp;"-"&amp;C53&amp;"-"&amp;D53&amp;"-"&amp;E53&amp;"-"&amp;F53&amp;"-"&amp;G53&amp;"-"&amp;H53&amp;"-"&amp;I53&amp;"-"&amp;J53&amp;"-"&amp;K53&amp;"-"&amp;B54&amp;"-"&amp;G55</f>
        <v>-RctRR----0-0-0-0-----Options None</v>
      </c>
      <c r="E54" s="174"/>
      <c r="F54" s="174"/>
      <c r="G54" s="174"/>
      <c r="H54" s="469" t="s">
        <v>82</v>
      </c>
      <c r="I54" s="470"/>
      <c r="J54" s="470"/>
      <c r="K54" s="191" t="str">
        <f>(IF($C55&gt;0,(IF(MAX((MAX(B53,C53)-D53)/2,(D53-MAX(B53,C53)))*1.732&gt;270,MAX((MAX(B53,C53)-D53)/2,(D174-MAX(B53,C53)))*1.732,270)+30),""))</f>
        <v/>
      </c>
      <c r="L54" s="83"/>
      <c r="U54" s="103">
        <f>A53</f>
        <v>0</v>
      </c>
      <c r="V54" s="104" t="s">
        <v>39</v>
      </c>
      <c r="W54" s="104" t="s">
        <v>39</v>
      </c>
      <c r="X54" s="104" t="s">
        <v>40</v>
      </c>
      <c r="Y54" s="104" t="s">
        <v>40</v>
      </c>
      <c r="Z54" s="104" t="s">
        <v>40</v>
      </c>
      <c r="AA54" s="105"/>
      <c r="AB54" s="155" t="s">
        <v>27</v>
      </c>
      <c r="AC54" s="155" t="s">
        <v>40</v>
      </c>
      <c r="AD54" s="155" t="s">
        <v>41</v>
      </c>
      <c r="AE54" s="104"/>
      <c r="AG54" s="136" t="s">
        <v>15</v>
      </c>
      <c r="AH54" s="136" t="s">
        <v>16</v>
      </c>
      <c r="AI54" s="107"/>
      <c r="AJ54" s="104" t="s">
        <v>40</v>
      </c>
      <c r="AK54" s="104" t="s">
        <v>41</v>
      </c>
      <c r="AL54" s="108"/>
      <c r="AM54" s="109"/>
      <c r="AO54" s="262" t="str">
        <f>informatieblad!$A$2</f>
        <v>FL20 loose</v>
      </c>
      <c r="AP54" s="262" t="str">
        <f>informatieblad!$A$3</f>
        <v>FL30 loose</v>
      </c>
      <c r="AQ54" s="263" t="str">
        <f>informatieblad!$A$4</f>
        <v>FL40 loose</v>
      </c>
      <c r="AR54" s="282"/>
      <c r="AT54" s="267"/>
      <c r="AV54" s="83" t="str">
        <f>'UC mounting materials '!$B$10</f>
        <v>Rail 30x15</v>
      </c>
      <c r="AW54" s="327">
        <f>IF(AE55&lt;1000,(AE55+100),0)*C55</f>
        <v>0</v>
      </c>
      <c r="AY54" s="265" t="s">
        <v>47</v>
      </c>
      <c r="AZ54" s="83" t="s">
        <v>23</v>
      </c>
      <c r="BA54" s="273" t="s">
        <v>23</v>
      </c>
    </row>
    <row r="55" spans="1:53" ht="15.75" thickBot="1">
      <c r="A55" s="476"/>
      <c r="B55" s="186" t="s">
        <v>23</v>
      </c>
      <c r="C55" s="110"/>
      <c r="D55" s="139"/>
      <c r="E55" s="94">
        <f>C55*W55</f>
        <v>0</v>
      </c>
      <c r="F55" s="141" t="s">
        <v>24</v>
      </c>
      <c r="G55" s="451" t="s">
        <v>25</v>
      </c>
      <c r="H55" s="484"/>
      <c r="I55" s="484"/>
      <c r="J55" s="484"/>
      <c r="K55" s="485"/>
      <c r="L55" s="176"/>
      <c r="U55" s="111"/>
      <c r="V55" s="112">
        <f>ROUND((((2*(B53+C53))*AF55)/1000000),2)</f>
        <v>0</v>
      </c>
      <c r="W55" s="158">
        <f>((IF(V55&lt;=informatieblad!$I$15,informatieblad!$I$15,IF(V55&gt;=informatieblad!$I$15,V55))))</f>
        <v>1</v>
      </c>
      <c r="X55" s="112">
        <f>ROUND((((2*(B53+C53))*AF55)/1000000),2)</f>
        <v>0</v>
      </c>
      <c r="Y55" s="112">
        <f>((IF(X55&lt;=informatieblad!$H$15,informatieblad!$H$15,IF(X55&gt;=informatieblad!$H$15,X55))))</f>
        <v>0</v>
      </c>
      <c r="Z55" s="113">
        <f>((Y55*AJ55)+(Y55*AC55))*C55</f>
        <v>0</v>
      </c>
      <c r="AA55" s="114">
        <f>((W55*AK55)+(W55*AD55))*C55</f>
        <v>0</v>
      </c>
      <c r="AB55" s="115" t="str">
        <f>G55</f>
        <v>Options None</v>
      </c>
      <c r="AC55" s="115">
        <f>VLOOKUP(G55,informatieblad!$A$37:$D$41,2,FALSE)</f>
        <v>0</v>
      </c>
      <c r="AD55" s="115">
        <f>VLOOKUP(G55,informatieblad!$A$37:$D$41,4,FALSE)</f>
        <v>0</v>
      </c>
      <c r="AE55" s="160">
        <f>(MAX(B53:C53))</f>
        <v>0</v>
      </c>
      <c r="AF55" s="161">
        <f>(MAX(AH55,AG55))</f>
        <v>0</v>
      </c>
      <c r="AG55" s="162">
        <f>ROUND((SQRT((((MAX(E53,F53))^2)+(K53^2)))),0)</f>
        <v>0</v>
      </c>
      <c r="AH55" s="163">
        <f>ROUND((SQRT((((MAX(G53,H53))^2)+(K53^2)))),0)</f>
        <v>0</v>
      </c>
      <c r="AI55" s="119">
        <f>LOOKUP(AE55,informatieblad!$C$27:$C$32,informatieblad!$A$27:$A$32)</f>
        <v>0.5</v>
      </c>
      <c r="AJ55" s="118">
        <f>VLOOKUP(AI55,informatieblad!$A$27:$M$32,6,FALSE)</f>
        <v>0</v>
      </c>
      <c r="AK55" s="118">
        <f>VLOOKUP(AI55,informatieblad!$A$27:$M$32,8,FALSE)</f>
        <v>45.1248</v>
      </c>
      <c r="AL55" s="120">
        <f>VLOOKUP(AI55,informatieblad!$A$27:$M$32,13,FALSE)</f>
        <v>4</v>
      </c>
      <c r="AM55" s="121">
        <f>ROUND((AL55*X55),1)</f>
        <v>0</v>
      </c>
      <c r="AO55" s="111">
        <f>(IF(B54=AO53,((2*B53)+(2*C53)),IF(B54=AO54,((2*B53)+(2*C53)),0)))*C55</f>
        <v>0</v>
      </c>
      <c r="AP55" s="111">
        <f>(IF(B54=AP53,((2*B53)+(2*C53)),IF(B54=AP54,((2*B53)+(2*C53)),0)))*C55</f>
        <v>0</v>
      </c>
      <c r="AQ55" s="261">
        <f>(IF(B54=AQ53,((2*B53)+(2*C53)),IF(B54=AQ54,((2*B53)+(2*C53)),0)))*C55</f>
        <v>0</v>
      </c>
      <c r="AR55" s="283">
        <f>(IF(B54=AR53,((2*B53)+(2*C53)),0))*C55</f>
        <v>0</v>
      </c>
      <c r="AS55" s="72"/>
      <c r="AT55" s="268">
        <f>K53*C55</f>
        <v>0</v>
      </c>
      <c r="AV55" s="83" t="str">
        <f>'UC mounting materials '!$B$11</f>
        <v>Rail 41x41</v>
      </c>
      <c r="AW55" s="268">
        <f>IF(AE55&gt;999,(AE55+100),0)*C55</f>
        <v>0</v>
      </c>
      <c r="AY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AZ55" s="276">
        <f>IF(AY55=AZ53,(4*C55),0)</f>
        <v>0</v>
      </c>
      <c r="BA55" s="274">
        <f>IF(AY55=BA53,(4*C55),0)</f>
        <v>0</v>
      </c>
    </row>
    <row r="56" spans="1:53" ht="5.0999999999999996" customHeight="1" thickBot="1">
      <c r="A56" s="145"/>
      <c r="B56" s="122"/>
      <c r="C56" s="122"/>
      <c r="D56" s="122"/>
      <c r="E56" s="122"/>
      <c r="F56" s="122"/>
      <c r="G56" s="122"/>
      <c r="H56" s="122"/>
      <c r="I56" s="122"/>
      <c r="J56" s="122"/>
      <c r="K56" s="146"/>
    </row>
    <row r="57" spans="1:53" ht="15" thickBot="1">
      <c r="A57" s="445"/>
      <c r="B57" s="96"/>
      <c r="C57" s="96"/>
      <c r="D57" s="96"/>
      <c r="E57" s="96">
        <f>(B57-D57)/2</f>
        <v>0</v>
      </c>
      <c r="F57" s="167">
        <f>B57-D57-E57</f>
        <v>0</v>
      </c>
      <c r="G57" s="96">
        <f>(C57-D57)/2</f>
        <v>0</v>
      </c>
      <c r="H57" s="167">
        <f>C57-D57-G57</f>
        <v>0</v>
      </c>
      <c r="I57" s="300" t="str">
        <f>IF($B57&gt;0,$K$10,"")</f>
        <v/>
      </c>
      <c r="J57" s="300" t="str">
        <f>IF($B57&gt;0,$K$11,"")</f>
        <v/>
      </c>
      <c r="K57" s="178"/>
      <c r="L57" s="345" t="s">
        <v>20</v>
      </c>
      <c r="U57" s="97" t="s">
        <v>14</v>
      </c>
      <c r="V57" s="98" t="s">
        <v>27</v>
      </c>
      <c r="W57" s="98" t="s">
        <v>28</v>
      </c>
      <c r="X57" s="98" t="s">
        <v>27</v>
      </c>
      <c r="Y57" s="98" t="s">
        <v>28</v>
      </c>
      <c r="Z57" s="98" t="s">
        <v>29</v>
      </c>
      <c r="AA57" s="66" t="s">
        <v>30</v>
      </c>
      <c r="AB57" s="153" t="s">
        <v>31</v>
      </c>
      <c r="AC57" s="153"/>
      <c r="AD57" s="153"/>
      <c r="AE57" s="100" t="s">
        <v>83</v>
      </c>
      <c r="AF57" s="98" t="s">
        <v>84</v>
      </c>
      <c r="AG57" s="98" t="s">
        <v>89</v>
      </c>
      <c r="AH57" s="100" t="s">
        <v>90</v>
      </c>
      <c r="AI57" s="100" t="s">
        <v>34</v>
      </c>
      <c r="AJ57" s="98" t="s">
        <v>32</v>
      </c>
      <c r="AK57" s="98" t="s">
        <v>32</v>
      </c>
      <c r="AL57" s="98" t="s">
        <v>49</v>
      </c>
      <c r="AM57" s="101" t="s">
        <v>36</v>
      </c>
      <c r="AO57" s="97" t="str">
        <f>informatieblad!$A$6</f>
        <v>FL20</v>
      </c>
      <c r="AP57" s="97" t="str">
        <f>informatieblad!$A$7</f>
        <v>FL30</v>
      </c>
      <c r="AQ57" s="99" t="str">
        <f>informatieblad!$A$8</f>
        <v>FL40</v>
      </c>
      <c r="AR57" s="266" t="str">
        <f>informatieblad!$A$5</f>
        <v>none</v>
      </c>
      <c r="AT57" s="266" t="s">
        <v>17</v>
      </c>
      <c r="AW57" s="266" t="s">
        <v>37</v>
      </c>
      <c r="AY57" s="269" t="s">
        <v>38</v>
      </c>
      <c r="AZ57" s="272">
        <f>informatieblad!$B$3</f>
        <v>0</v>
      </c>
      <c r="BA57" s="264">
        <f>informatieblad!$B$4</f>
        <v>0</v>
      </c>
    </row>
    <row r="58" spans="1:53">
      <c r="A58" s="481"/>
      <c r="B58" s="482" t="str">
        <f>IF($C59&gt;0,IF(MAX(B57:C57)&lt;informatieblad!$Q$4,informatieblad!$P$3,IF(MAX(B57:C57)&gt;informatieblad!$R$4,informatieblad!$P$5,informatieblad!$P$4)),"")</f>
        <v/>
      </c>
      <c r="C58" s="483"/>
      <c r="D58" s="303" t="str">
        <f>A57&amp;"-"&amp;informatieblad!$B$15&amp;"-"&amp;B57&amp;"-"&amp;C57&amp;"-"&amp;D57&amp;"-"&amp;E57&amp;"-"&amp;F57&amp;"-"&amp;G57&amp;"-"&amp;H57&amp;"-"&amp;I57&amp;"-"&amp;J57&amp;"-"&amp;K57&amp;"-"&amp;B58&amp;"-"&amp;G59</f>
        <v>-RctRR----0-0-0-0-----Options None</v>
      </c>
      <c r="E58" s="174"/>
      <c r="F58" s="174"/>
      <c r="G58" s="174"/>
      <c r="H58" s="469" t="s">
        <v>82</v>
      </c>
      <c r="I58" s="470"/>
      <c r="J58" s="470"/>
      <c r="K58" s="191" t="str">
        <f>(IF($C59&gt;0,(IF(MAX((MAX(B57,C57)-D57)/2,(D57-MAX(B57,C57)))*1.732&gt;270,MAX((MAX(B57,C57)-D57)/2,(D178-MAX(B57,C57)))*1.732,270)+30),""))</f>
        <v/>
      </c>
      <c r="L58" s="83"/>
      <c r="U58" s="103">
        <f>A57</f>
        <v>0</v>
      </c>
      <c r="V58" s="104" t="s">
        <v>39</v>
      </c>
      <c r="W58" s="104" t="s">
        <v>39</v>
      </c>
      <c r="X58" s="104" t="s">
        <v>40</v>
      </c>
      <c r="Y58" s="104" t="s">
        <v>40</v>
      </c>
      <c r="Z58" s="104" t="s">
        <v>40</v>
      </c>
      <c r="AA58" s="105"/>
      <c r="AB58" s="155" t="s">
        <v>27</v>
      </c>
      <c r="AC58" s="155" t="s">
        <v>40</v>
      </c>
      <c r="AD58" s="155" t="s">
        <v>41</v>
      </c>
      <c r="AE58" s="104"/>
      <c r="AG58" s="136" t="s">
        <v>15</v>
      </c>
      <c r="AH58" s="136" t="s">
        <v>16</v>
      </c>
      <c r="AI58" s="107"/>
      <c r="AJ58" s="104" t="s">
        <v>40</v>
      </c>
      <c r="AK58" s="104" t="s">
        <v>41</v>
      </c>
      <c r="AL58" s="108"/>
      <c r="AM58" s="109"/>
      <c r="AO58" s="262" t="str">
        <f>informatieblad!$A$2</f>
        <v>FL20 loose</v>
      </c>
      <c r="AP58" s="262" t="str">
        <f>informatieblad!$A$3</f>
        <v>FL30 loose</v>
      </c>
      <c r="AQ58" s="263" t="str">
        <f>informatieblad!$A$4</f>
        <v>FL40 loose</v>
      </c>
      <c r="AR58" s="282"/>
      <c r="AT58" s="267"/>
      <c r="AV58" s="83" t="str">
        <f>'UC mounting materials '!$B$10</f>
        <v>Rail 30x15</v>
      </c>
      <c r="AW58" s="327">
        <f>IF(AE59&lt;1000,(AE59+100),0)*C59</f>
        <v>0</v>
      </c>
      <c r="AY58" s="265" t="s">
        <v>47</v>
      </c>
      <c r="AZ58" s="83" t="s">
        <v>23</v>
      </c>
      <c r="BA58" s="273" t="s">
        <v>23</v>
      </c>
    </row>
    <row r="59" spans="1:53" ht="15.75" thickBot="1">
      <c r="A59" s="476"/>
      <c r="B59" s="186" t="s">
        <v>23</v>
      </c>
      <c r="C59" s="110"/>
      <c r="D59" s="139"/>
      <c r="E59" s="94">
        <f>C59*W59</f>
        <v>0</v>
      </c>
      <c r="F59" s="141" t="s">
        <v>24</v>
      </c>
      <c r="G59" s="451" t="s">
        <v>25</v>
      </c>
      <c r="H59" s="484"/>
      <c r="I59" s="484"/>
      <c r="J59" s="484"/>
      <c r="K59" s="485"/>
      <c r="L59" s="176"/>
      <c r="U59" s="111"/>
      <c r="V59" s="112">
        <f>ROUND((((2*(B57+C57))*AF59)/1000000),2)</f>
        <v>0</v>
      </c>
      <c r="W59" s="158">
        <f>((IF(V59&lt;=informatieblad!$I$15,informatieblad!$I$15,IF(V59&gt;=informatieblad!$I$15,V59))))</f>
        <v>1</v>
      </c>
      <c r="X59" s="112">
        <f>ROUND((((2*(B57+C57))*AF59)/1000000),2)</f>
        <v>0</v>
      </c>
      <c r="Y59" s="112">
        <f>((IF(X59&lt;=informatieblad!$H$15,informatieblad!$H$15,IF(X59&gt;=informatieblad!$H$15,X59))))</f>
        <v>0</v>
      </c>
      <c r="Z59" s="113">
        <f>((Y59*AJ59)+(Y59*AC59))*C59</f>
        <v>0</v>
      </c>
      <c r="AA59" s="114">
        <f>((W59*AK59)+(W59*AD59))*C59</f>
        <v>0</v>
      </c>
      <c r="AB59" s="115" t="str">
        <f>G59</f>
        <v>Options None</v>
      </c>
      <c r="AC59" s="115">
        <f>VLOOKUP(G59,informatieblad!$A$37:$D$41,2,FALSE)</f>
        <v>0</v>
      </c>
      <c r="AD59" s="115">
        <f>VLOOKUP(G59,informatieblad!$A$37:$D$41,4,FALSE)</f>
        <v>0</v>
      </c>
      <c r="AE59" s="160">
        <f>(MAX(B57:C57))</f>
        <v>0</v>
      </c>
      <c r="AF59" s="161">
        <f>(MAX(AH59,AG59))</f>
        <v>0</v>
      </c>
      <c r="AG59" s="162">
        <f>ROUND((SQRT((((MAX(E57,F57))^2)+(K57^2)))),0)</f>
        <v>0</v>
      </c>
      <c r="AH59" s="163">
        <f>ROUND((SQRT((((MAX(G57,H57))^2)+(K57^2)))),0)</f>
        <v>0</v>
      </c>
      <c r="AI59" s="119">
        <f>LOOKUP(AE59,informatieblad!$C$27:$C$32,informatieblad!$A$27:$A$32)</f>
        <v>0.5</v>
      </c>
      <c r="AJ59" s="118">
        <f>VLOOKUP(AI59,informatieblad!$A$27:$M$32,6,FALSE)</f>
        <v>0</v>
      </c>
      <c r="AK59" s="118">
        <f>VLOOKUP(AI59,informatieblad!$A$27:$M$32,8,FALSE)</f>
        <v>45.1248</v>
      </c>
      <c r="AL59" s="120">
        <f>VLOOKUP(AI59,informatieblad!$A$27:$M$32,13,FALSE)</f>
        <v>4</v>
      </c>
      <c r="AM59" s="121">
        <f>ROUND((AL59*X59),1)</f>
        <v>0</v>
      </c>
      <c r="AO59" s="111">
        <f>(IF(B58=AO57,((2*B57)+(2*C57)),IF(B58=AO58,((2*B57)+(2*C57)),0)))*C59</f>
        <v>0</v>
      </c>
      <c r="AP59" s="111">
        <f>(IF(B58=AP57,((2*B57)+(2*C57)),IF(B58=AP58,((2*B57)+(2*C57)),0)))*C59</f>
        <v>0</v>
      </c>
      <c r="AQ59" s="261">
        <f>(IF(B58=AQ57,((2*B57)+(2*C57)),IF(B58=AQ58,((2*B57)+(2*C57)),0)))*C59</f>
        <v>0</v>
      </c>
      <c r="AR59" s="283">
        <f>(IF(B58=AR57,((2*B57)+(2*C57)),0))*C59</f>
        <v>0</v>
      </c>
      <c r="AT59" s="268">
        <f>K57*C59</f>
        <v>0</v>
      </c>
      <c r="AV59" s="83" t="str">
        <f>'UC mounting materials '!$B$11</f>
        <v>Rail 41x41</v>
      </c>
      <c r="AW59" s="268">
        <f>IF(AE59&gt;999,(AE59+100),0)*C59</f>
        <v>0</v>
      </c>
      <c r="AY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AZ59" s="276">
        <f>IF(AY59=AZ57,(4*C59),0)</f>
        <v>0</v>
      </c>
      <c r="BA59" s="274">
        <f>IF(AY59=BA57,(4*C59),0)</f>
        <v>0</v>
      </c>
    </row>
    <row r="60" spans="1:53" ht="5.0999999999999996" customHeight="1" thickBot="1">
      <c r="A60" s="145"/>
      <c r="B60" s="122"/>
      <c r="C60" s="122"/>
      <c r="D60" s="122"/>
      <c r="E60" s="122"/>
      <c r="F60" s="122"/>
      <c r="G60" s="122"/>
      <c r="H60" s="122"/>
      <c r="I60" s="122"/>
      <c r="J60" s="122"/>
      <c r="K60" s="146"/>
    </row>
    <row r="61" spans="1:53" ht="15" thickBot="1">
      <c r="A61" s="445"/>
      <c r="B61" s="96"/>
      <c r="C61" s="96"/>
      <c r="D61" s="96"/>
      <c r="E61" s="96">
        <f>(B61-D61)/2</f>
        <v>0</v>
      </c>
      <c r="F61" s="167">
        <f>B61-D61-E61</f>
        <v>0</v>
      </c>
      <c r="G61" s="96">
        <f>(C61-D61)/2</f>
        <v>0</v>
      </c>
      <c r="H61" s="167">
        <f>C61-D61-G61</f>
        <v>0</v>
      </c>
      <c r="I61" s="300" t="str">
        <f>IF($B61&gt;0,$K$10,"")</f>
        <v/>
      </c>
      <c r="J61" s="300" t="str">
        <f>IF($B61&gt;0,$K$11,"")</f>
        <v/>
      </c>
      <c r="K61" s="178"/>
      <c r="L61" s="345" t="s">
        <v>20</v>
      </c>
      <c r="U61" s="97" t="s">
        <v>14</v>
      </c>
      <c r="V61" s="98" t="s">
        <v>27</v>
      </c>
      <c r="W61" s="98" t="s">
        <v>28</v>
      </c>
      <c r="X61" s="98" t="s">
        <v>27</v>
      </c>
      <c r="Y61" s="98" t="s">
        <v>28</v>
      </c>
      <c r="Z61" s="98" t="s">
        <v>29</v>
      </c>
      <c r="AA61" s="66" t="s">
        <v>30</v>
      </c>
      <c r="AB61" s="153" t="s">
        <v>31</v>
      </c>
      <c r="AC61" s="153"/>
      <c r="AD61" s="153"/>
      <c r="AE61" s="100" t="s">
        <v>83</v>
      </c>
      <c r="AF61" s="98" t="s">
        <v>84</v>
      </c>
      <c r="AG61" s="98" t="s">
        <v>89</v>
      </c>
      <c r="AH61" s="100" t="s">
        <v>90</v>
      </c>
      <c r="AI61" s="100" t="s">
        <v>34</v>
      </c>
      <c r="AJ61" s="98" t="s">
        <v>32</v>
      </c>
      <c r="AK61" s="98" t="s">
        <v>32</v>
      </c>
      <c r="AL61" s="98" t="s">
        <v>49</v>
      </c>
      <c r="AM61" s="101" t="s">
        <v>36</v>
      </c>
      <c r="AO61" s="97" t="str">
        <f>informatieblad!$A$6</f>
        <v>FL20</v>
      </c>
      <c r="AP61" s="97" t="str">
        <f>informatieblad!$A$7</f>
        <v>FL30</v>
      </c>
      <c r="AQ61" s="99" t="str">
        <f>informatieblad!$A$8</f>
        <v>FL40</v>
      </c>
      <c r="AR61" s="266" t="str">
        <f>informatieblad!$A$5</f>
        <v>none</v>
      </c>
      <c r="AT61" s="266" t="s">
        <v>17</v>
      </c>
      <c r="AW61" s="266" t="s">
        <v>37</v>
      </c>
      <c r="AY61" s="269" t="s">
        <v>38</v>
      </c>
      <c r="AZ61" s="272">
        <f>informatieblad!$B$3</f>
        <v>0</v>
      </c>
      <c r="BA61" s="264">
        <f>informatieblad!$B$4</f>
        <v>0</v>
      </c>
    </row>
    <row r="62" spans="1:53">
      <c r="A62" s="481"/>
      <c r="B62" s="482" t="str">
        <f>IF($C63&gt;0,IF(MAX(B61:C61)&lt;informatieblad!$Q$4,informatieblad!$P$3,IF(MAX(B61:C61)&gt;informatieblad!$R$4,informatieblad!$P$5,informatieblad!$P$4)),"")</f>
        <v/>
      </c>
      <c r="C62" s="483"/>
      <c r="D62" s="303" t="str">
        <f>A61&amp;"-"&amp;informatieblad!$B$15&amp;"-"&amp;B61&amp;"-"&amp;C61&amp;"-"&amp;D61&amp;"-"&amp;E61&amp;"-"&amp;F61&amp;"-"&amp;G61&amp;"-"&amp;H61&amp;"-"&amp;I61&amp;"-"&amp;J61&amp;"-"&amp;K61&amp;"-"&amp;B62&amp;"-"&amp;G63</f>
        <v>-RctRR----0-0-0-0-----Options None</v>
      </c>
      <c r="E62" s="174"/>
      <c r="F62" s="174"/>
      <c r="G62" s="174"/>
      <c r="H62" s="469" t="s">
        <v>82</v>
      </c>
      <c r="I62" s="470"/>
      <c r="J62" s="470"/>
      <c r="K62" s="191" t="str">
        <f>(IF($C63&gt;0,(IF(MAX((MAX(B61,C61)-D61)/2,(D61-MAX(B61,C61)))*1.732&gt;270,MAX((MAX(B61,C61)-D61)/2,(D182-MAX(B61,C61)))*1.732,270)+30),""))</f>
        <v/>
      </c>
      <c r="L62" s="83"/>
      <c r="U62" s="103">
        <f>A61</f>
        <v>0</v>
      </c>
      <c r="V62" s="104" t="s">
        <v>39</v>
      </c>
      <c r="W62" s="104" t="s">
        <v>39</v>
      </c>
      <c r="X62" s="104" t="s">
        <v>40</v>
      </c>
      <c r="Y62" s="104" t="s">
        <v>40</v>
      </c>
      <c r="Z62" s="104" t="s">
        <v>40</v>
      </c>
      <c r="AA62" s="105"/>
      <c r="AB62" s="155" t="s">
        <v>27</v>
      </c>
      <c r="AC62" s="155" t="s">
        <v>40</v>
      </c>
      <c r="AD62" s="155" t="s">
        <v>41</v>
      </c>
      <c r="AE62" s="104"/>
      <c r="AG62" s="136" t="s">
        <v>15</v>
      </c>
      <c r="AH62" s="136" t="s">
        <v>16</v>
      </c>
      <c r="AI62" s="107"/>
      <c r="AJ62" s="104" t="s">
        <v>40</v>
      </c>
      <c r="AK62" s="104" t="s">
        <v>41</v>
      </c>
      <c r="AL62" s="108"/>
      <c r="AM62" s="109"/>
      <c r="AO62" s="262" t="str">
        <f>informatieblad!$A$2</f>
        <v>FL20 loose</v>
      </c>
      <c r="AP62" s="262" t="str">
        <f>informatieblad!$A$3</f>
        <v>FL30 loose</v>
      </c>
      <c r="AQ62" s="263" t="str">
        <f>informatieblad!$A$4</f>
        <v>FL40 loose</v>
      </c>
      <c r="AR62" s="282"/>
      <c r="AT62" s="267"/>
      <c r="AV62" s="83" t="str">
        <f>'UC mounting materials '!$B$10</f>
        <v>Rail 30x15</v>
      </c>
      <c r="AW62" s="327">
        <f>IF(AE63&lt;1000,(AE63+100),0)*C63</f>
        <v>0</v>
      </c>
      <c r="AY62" s="265" t="s">
        <v>47</v>
      </c>
      <c r="AZ62" s="83" t="s">
        <v>23</v>
      </c>
      <c r="BA62" s="273" t="s">
        <v>23</v>
      </c>
    </row>
    <row r="63" spans="1:53" ht="15.75" thickBot="1">
      <c r="A63" s="476"/>
      <c r="B63" s="186" t="s">
        <v>23</v>
      </c>
      <c r="C63" s="110"/>
      <c r="D63" s="139"/>
      <c r="E63" s="94">
        <f>C63*W63</f>
        <v>0</v>
      </c>
      <c r="F63" s="141" t="s">
        <v>24</v>
      </c>
      <c r="G63" s="451" t="s">
        <v>25</v>
      </c>
      <c r="H63" s="484"/>
      <c r="I63" s="484"/>
      <c r="J63" s="484"/>
      <c r="K63" s="485"/>
      <c r="L63" s="176"/>
      <c r="U63" s="111"/>
      <c r="V63" s="112">
        <f>ROUND((((2*(B61+C61))*AF63)/1000000),2)</f>
        <v>0</v>
      </c>
      <c r="W63" s="158">
        <f>((IF(V63&lt;=informatieblad!$I$15,informatieblad!$I$15,IF(V63&gt;=informatieblad!$I$15,V63))))</f>
        <v>1</v>
      </c>
      <c r="X63" s="112">
        <f>ROUND((((2*(B61+C61))*AF63)/1000000),2)</f>
        <v>0</v>
      </c>
      <c r="Y63" s="112">
        <f>((IF(X63&lt;=informatieblad!$H$15,informatieblad!$H$15,IF(X63&gt;=informatieblad!$H$15,X63))))</f>
        <v>0</v>
      </c>
      <c r="Z63" s="113">
        <f>((Y63*AJ63)+(Y63*AC63))*C63</f>
        <v>0</v>
      </c>
      <c r="AA63" s="114">
        <f>((W63*AK63)+(W63*AD63))*C63</f>
        <v>0</v>
      </c>
      <c r="AB63" s="115" t="str">
        <f>G63</f>
        <v>Options None</v>
      </c>
      <c r="AC63" s="115">
        <f>VLOOKUP(G63,informatieblad!$A$37:$D$41,2,FALSE)</f>
        <v>0</v>
      </c>
      <c r="AD63" s="115">
        <f>VLOOKUP(G63,informatieblad!$A$37:$D$41,4,FALSE)</f>
        <v>0</v>
      </c>
      <c r="AE63" s="160">
        <f>(MAX(B61:C61))</f>
        <v>0</v>
      </c>
      <c r="AF63" s="161">
        <f>(MAX(AH63,AG63))</f>
        <v>0</v>
      </c>
      <c r="AG63" s="162">
        <f>ROUND((SQRT((((MAX(E61,F61))^2)+(K61^2)))),0)</f>
        <v>0</v>
      </c>
      <c r="AH63" s="163">
        <f>ROUND((SQRT((((MAX(G61,H61))^2)+(K61^2)))),0)</f>
        <v>0</v>
      </c>
      <c r="AI63" s="119">
        <f>LOOKUP(AE63,informatieblad!$C$27:$C$32,informatieblad!$A$27:$A$32)</f>
        <v>0.5</v>
      </c>
      <c r="AJ63" s="118">
        <f>VLOOKUP(AI63,informatieblad!$A$27:$M$32,6,FALSE)</f>
        <v>0</v>
      </c>
      <c r="AK63" s="118">
        <f>VLOOKUP(AI63,informatieblad!$A$27:$M$32,8,FALSE)</f>
        <v>45.1248</v>
      </c>
      <c r="AL63" s="120">
        <f>VLOOKUP(AI63,informatieblad!$A$27:$M$32,13,FALSE)</f>
        <v>4</v>
      </c>
      <c r="AM63" s="121">
        <f>ROUND((AL63*X63),1)</f>
        <v>0</v>
      </c>
      <c r="AO63" s="111">
        <f>(IF(B62=AO61,((2*B61)+(2*C61)),IF(B62=AO62,((2*B61)+(2*C61)),0)))*C63</f>
        <v>0</v>
      </c>
      <c r="AP63" s="111">
        <f>(IF(B62=AP61,((2*B61)+(2*C61)),IF(B62=AP62,((2*B61)+(2*C61)),0)))*C63</f>
        <v>0</v>
      </c>
      <c r="AQ63" s="261">
        <f>(IF(B62=AQ61,((2*B61)+(2*C61)),IF(B62=AQ62,((2*B61)+(2*C61)),0)))*C63</f>
        <v>0</v>
      </c>
      <c r="AR63" s="283">
        <f>(IF(B62=AR61,((2*B61)+(2*C61)),0))*C63</f>
        <v>0</v>
      </c>
      <c r="AT63" s="268">
        <f>K61*C63</f>
        <v>0</v>
      </c>
      <c r="AV63" s="83" t="str">
        <f>'UC mounting materials '!$B$11</f>
        <v>Rail 41x41</v>
      </c>
      <c r="AW63" s="268">
        <f>IF(AE63&gt;999,(AE63+100),0)*C63</f>
        <v>0</v>
      </c>
      <c r="AY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AZ63" s="276">
        <f>IF(AY63=AZ61,(4*C63),0)</f>
        <v>0</v>
      </c>
      <c r="BA63" s="274">
        <f>IF(AY63=BA61,(4*C63),0)</f>
        <v>0</v>
      </c>
    </row>
    <row r="64" spans="1:53" ht="5.0999999999999996" customHeight="1" thickBot="1">
      <c r="A64" s="145"/>
      <c r="B64" s="122"/>
      <c r="C64" s="122"/>
      <c r="D64" s="122"/>
      <c r="E64" s="122"/>
      <c r="F64" s="122"/>
      <c r="G64" s="122"/>
      <c r="H64" s="122"/>
      <c r="I64" s="122"/>
      <c r="J64" s="122"/>
      <c r="K64" s="146"/>
    </row>
    <row r="65" spans="1:53" ht="15" thickBot="1">
      <c r="A65" s="445"/>
      <c r="B65" s="96"/>
      <c r="C65" s="96"/>
      <c r="D65" s="96"/>
      <c r="E65" s="96">
        <f>(B65-D65)/2</f>
        <v>0</v>
      </c>
      <c r="F65" s="167">
        <f>B65-D65-E65</f>
        <v>0</v>
      </c>
      <c r="G65" s="96">
        <f>(C65-D65)/2</f>
        <v>0</v>
      </c>
      <c r="H65" s="167">
        <f>C65-D65-G65</f>
        <v>0</v>
      </c>
      <c r="I65" s="300" t="str">
        <f>IF($B65&gt;0,$K$10,"")</f>
        <v/>
      </c>
      <c r="J65" s="300" t="str">
        <f>IF($B65&gt;0,$K$11,"")</f>
        <v/>
      </c>
      <c r="K65" s="178"/>
      <c r="L65" s="345" t="s">
        <v>20</v>
      </c>
      <c r="U65" s="97" t="s">
        <v>14</v>
      </c>
      <c r="V65" s="98" t="s">
        <v>27</v>
      </c>
      <c r="W65" s="98" t="s">
        <v>28</v>
      </c>
      <c r="X65" s="98" t="s">
        <v>27</v>
      </c>
      <c r="Y65" s="98" t="s">
        <v>28</v>
      </c>
      <c r="Z65" s="98" t="s">
        <v>29</v>
      </c>
      <c r="AA65" s="66" t="s">
        <v>30</v>
      </c>
      <c r="AB65" s="153" t="s">
        <v>31</v>
      </c>
      <c r="AC65" s="153"/>
      <c r="AD65" s="153"/>
      <c r="AE65" s="100" t="s">
        <v>83</v>
      </c>
      <c r="AF65" s="98" t="s">
        <v>84</v>
      </c>
      <c r="AG65" s="98" t="s">
        <v>89</v>
      </c>
      <c r="AH65" s="100" t="s">
        <v>90</v>
      </c>
      <c r="AI65" s="100" t="s">
        <v>34</v>
      </c>
      <c r="AJ65" s="98" t="s">
        <v>32</v>
      </c>
      <c r="AK65" s="98" t="s">
        <v>32</v>
      </c>
      <c r="AL65" s="98" t="s">
        <v>49</v>
      </c>
      <c r="AM65" s="101" t="s">
        <v>36</v>
      </c>
      <c r="AO65" s="97" t="str">
        <f>informatieblad!$A$6</f>
        <v>FL20</v>
      </c>
      <c r="AP65" s="97" t="str">
        <f>informatieblad!$A$7</f>
        <v>FL30</v>
      </c>
      <c r="AQ65" s="99" t="str">
        <f>informatieblad!$A$8</f>
        <v>FL40</v>
      </c>
      <c r="AR65" s="266" t="str">
        <f>informatieblad!$A$5</f>
        <v>none</v>
      </c>
      <c r="AT65" s="266" t="s">
        <v>17</v>
      </c>
      <c r="AW65" s="266" t="s">
        <v>37</v>
      </c>
      <c r="AY65" s="269" t="s">
        <v>38</v>
      </c>
      <c r="AZ65" s="272">
        <f>informatieblad!$B$3</f>
        <v>0</v>
      </c>
      <c r="BA65" s="264">
        <f>informatieblad!$B$4</f>
        <v>0</v>
      </c>
    </row>
    <row r="66" spans="1:53">
      <c r="A66" s="481"/>
      <c r="B66" s="482" t="str">
        <f>IF($C67&gt;0,IF(MAX(B65:C65)&lt;informatieblad!$Q$4,informatieblad!$P$3,IF(MAX(B65:C65)&gt;informatieblad!$R$4,informatieblad!$P$5,informatieblad!$P$4)),"")</f>
        <v/>
      </c>
      <c r="C66" s="483"/>
      <c r="D66" s="190" t="str">
        <f>A65&amp;"-"&amp;informatieblad!$B$15&amp;"-"&amp;B65&amp;"-"&amp;C65&amp;"-"&amp;D65&amp;"-"&amp;E65&amp;"-"&amp;F65&amp;"-"&amp;G65&amp;"-"&amp;H65&amp;"-"&amp;I65&amp;"-"&amp;J65&amp;"-"&amp;K65&amp;"-"&amp;B66&amp;"-"&amp;G67</f>
        <v>-RctRR----0-0-0-0-----Options None</v>
      </c>
      <c r="E66" s="174"/>
      <c r="F66" s="174"/>
      <c r="G66" s="174"/>
      <c r="H66" s="469" t="s">
        <v>82</v>
      </c>
      <c r="I66" s="470"/>
      <c r="J66" s="470"/>
      <c r="K66" s="191" t="str">
        <f>(IF($C67&gt;0,(IF(MAX((MAX(B65,C65)-D65)/2,(D65-MAX(B65,C65)))*1.732&gt;270,MAX((MAX(B65,C65)-D65)/2,(D186-MAX(B65,C65)))*1.732,270)+30),""))</f>
        <v/>
      </c>
      <c r="L66" s="83"/>
      <c r="U66" s="103">
        <f>A65</f>
        <v>0</v>
      </c>
      <c r="V66" s="104" t="s">
        <v>39</v>
      </c>
      <c r="W66" s="104" t="s">
        <v>39</v>
      </c>
      <c r="X66" s="104" t="s">
        <v>40</v>
      </c>
      <c r="Y66" s="104" t="s">
        <v>40</v>
      </c>
      <c r="Z66" s="104" t="s">
        <v>40</v>
      </c>
      <c r="AA66" s="105"/>
      <c r="AB66" s="155" t="s">
        <v>27</v>
      </c>
      <c r="AC66" s="155" t="s">
        <v>40</v>
      </c>
      <c r="AD66" s="155" t="s">
        <v>41</v>
      </c>
      <c r="AE66" s="104"/>
      <c r="AG66" s="136" t="s">
        <v>15</v>
      </c>
      <c r="AH66" s="136" t="s">
        <v>16</v>
      </c>
      <c r="AI66" s="107"/>
      <c r="AJ66" s="104" t="s">
        <v>40</v>
      </c>
      <c r="AK66" s="104" t="s">
        <v>41</v>
      </c>
      <c r="AL66" s="108"/>
      <c r="AM66" s="109"/>
      <c r="AO66" s="262" t="str">
        <f>informatieblad!$A$2</f>
        <v>FL20 loose</v>
      </c>
      <c r="AP66" s="262" t="str">
        <f>informatieblad!$A$3</f>
        <v>FL30 loose</v>
      </c>
      <c r="AQ66" s="263" t="str">
        <f>informatieblad!$A$4</f>
        <v>FL40 loose</v>
      </c>
      <c r="AR66" s="282"/>
      <c r="AT66" s="267"/>
      <c r="AV66" s="83" t="str">
        <f>'UC mounting materials '!$B$10</f>
        <v>Rail 30x15</v>
      </c>
      <c r="AW66" s="327">
        <f>IF(AE67&lt;1000,(AE67+100),0)*C67</f>
        <v>0</v>
      </c>
      <c r="AY66" s="265" t="s">
        <v>47</v>
      </c>
      <c r="AZ66" s="83" t="s">
        <v>23</v>
      </c>
      <c r="BA66" s="273" t="s">
        <v>23</v>
      </c>
    </row>
    <row r="67" spans="1:53" ht="15.75" thickBot="1">
      <c r="A67" s="476"/>
      <c r="B67" s="186" t="s">
        <v>23</v>
      </c>
      <c r="C67" s="110"/>
      <c r="D67" s="139"/>
      <c r="E67" s="94">
        <f>C67*W67</f>
        <v>0</v>
      </c>
      <c r="F67" s="141" t="s">
        <v>24</v>
      </c>
      <c r="G67" s="451" t="s">
        <v>25</v>
      </c>
      <c r="H67" s="484"/>
      <c r="I67" s="484"/>
      <c r="J67" s="484"/>
      <c r="K67" s="485"/>
      <c r="L67" s="176"/>
      <c r="U67" s="111"/>
      <c r="V67" s="112">
        <f>ROUND((((2*(B65+C65))*AF67)/1000000),2)</f>
        <v>0</v>
      </c>
      <c r="W67" s="158">
        <f>((IF(V67&lt;=informatieblad!$I$15,informatieblad!$I$15,IF(V67&gt;=informatieblad!$I$15,V67))))</f>
        <v>1</v>
      </c>
      <c r="X67" s="112">
        <f>ROUND((((2*(B65+C65))*AF67)/1000000),2)</f>
        <v>0</v>
      </c>
      <c r="Y67" s="112">
        <f>((IF(X67&lt;=informatieblad!$H$15,informatieblad!$H$15,IF(X67&gt;=informatieblad!$H$15,X67))))</f>
        <v>0</v>
      </c>
      <c r="Z67" s="113">
        <f>((Y67*AJ67)+(Y67*AC67))*C67</f>
        <v>0</v>
      </c>
      <c r="AA67" s="114">
        <f>((W67*AK67)+(W67*AD67))*C67</f>
        <v>0</v>
      </c>
      <c r="AB67" s="115" t="str">
        <f>G67</f>
        <v>Options None</v>
      </c>
      <c r="AC67" s="115">
        <f>VLOOKUP(G67,informatieblad!$A$37:$D$41,2,FALSE)</f>
        <v>0</v>
      </c>
      <c r="AD67" s="115">
        <f>VLOOKUP(G67,informatieblad!$A$37:$D$41,4,FALSE)</f>
        <v>0</v>
      </c>
      <c r="AE67" s="160">
        <f>(MAX(B65:C65))</f>
        <v>0</v>
      </c>
      <c r="AF67" s="161">
        <f>(MAX(AH67,AG67))</f>
        <v>0</v>
      </c>
      <c r="AG67" s="162">
        <f>ROUND((SQRT((((MAX(E65,F65))^2)+(K65^2)))),0)</f>
        <v>0</v>
      </c>
      <c r="AH67" s="163">
        <f>ROUND((SQRT((((MAX(G65,H65))^2)+(K65^2)))),0)</f>
        <v>0</v>
      </c>
      <c r="AI67" s="119">
        <f>LOOKUP(AE67,informatieblad!$C$27:$C$32,informatieblad!$A$27:$A$32)</f>
        <v>0.5</v>
      </c>
      <c r="AJ67" s="118">
        <f>VLOOKUP(AI67,informatieblad!$A$27:$M$32,6,FALSE)</f>
        <v>0</v>
      </c>
      <c r="AK67" s="118">
        <f>VLOOKUP(AI67,informatieblad!$A$27:$M$32,8,FALSE)</f>
        <v>45.1248</v>
      </c>
      <c r="AL67" s="120">
        <f>VLOOKUP(AI67,informatieblad!$A$27:$M$32,13,FALSE)</f>
        <v>4</v>
      </c>
      <c r="AM67" s="121">
        <f>ROUND((AL67*X67),1)</f>
        <v>0</v>
      </c>
      <c r="AO67" s="111">
        <f>(IF(B66=AO65,((2*B65)+(2*C65)),IF(B66=AO66,((2*B65)+(2*C65)),0)))*C67</f>
        <v>0</v>
      </c>
      <c r="AP67" s="111">
        <f>(IF(B66=AP65,((2*B65)+(2*C65)),IF(B66=AP66,((2*B65)+(2*C65)),0)))*C67</f>
        <v>0</v>
      </c>
      <c r="AQ67" s="261">
        <f>(IF(B66=AQ65,((2*B65)+(2*C65)),IF(B66=AQ66,((2*B65)+(2*C65)),0)))*C67</f>
        <v>0</v>
      </c>
      <c r="AR67" s="283">
        <f>(IF(B66=AR65,((2*B65)+(2*C65)),0))*C67</f>
        <v>0</v>
      </c>
      <c r="AT67" s="268">
        <f>K65*C67</f>
        <v>0</v>
      </c>
      <c r="AV67" s="83" t="str">
        <f>'UC mounting materials '!$B$11</f>
        <v>Rail 41x41</v>
      </c>
      <c r="AW67" s="268">
        <f>IF(AE67&gt;999,(AE67+100),0)*C67</f>
        <v>0</v>
      </c>
      <c r="AY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AZ67" s="276">
        <f>IF(AY67=AZ65,(4*C67),0)</f>
        <v>0</v>
      </c>
      <c r="BA67" s="274">
        <f>IF(AY67=BA65,(4*C67),0)</f>
        <v>0</v>
      </c>
    </row>
    <row r="68" spans="1:53" ht="5.0999999999999996" customHeight="1" thickBot="1">
      <c r="A68" s="145"/>
      <c r="B68" s="122"/>
      <c r="C68" s="122"/>
      <c r="D68" s="122"/>
      <c r="E68" s="122"/>
      <c r="F68" s="122"/>
      <c r="G68" s="122"/>
      <c r="H68" s="122"/>
      <c r="I68" s="122"/>
      <c r="J68" s="122"/>
      <c r="K68" s="146"/>
    </row>
    <row r="69" spans="1:53" ht="15" thickBot="1">
      <c r="A69" s="445"/>
      <c r="B69" s="96"/>
      <c r="C69" s="96"/>
      <c r="D69" s="96"/>
      <c r="E69" s="96">
        <f>(B69-D69)/2</f>
        <v>0</v>
      </c>
      <c r="F69" s="167">
        <f>B69-D69-E69</f>
        <v>0</v>
      </c>
      <c r="G69" s="96">
        <f>(C69-D69)/2</f>
        <v>0</v>
      </c>
      <c r="H69" s="167">
        <f>C69-D69-G69</f>
        <v>0</v>
      </c>
      <c r="I69" s="300" t="str">
        <f>IF($B69&gt;0,$K$10,"")</f>
        <v/>
      </c>
      <c r="J69" s="300" t="str">
        <f>IF($B69&gt;0,$K$11,"")</f>
        <v/>
      </c>
      <c r="K69" s="178"/>
      <c r="L69" s="345" t="s">
        <v>20</v>
      </c>
      <c r="U69" s="97" t="s">
        <v>14</v>
      </c>
      <c r="V69" s="98" t="s">
        <v>27</v>
      </c>
      <c r="W69" s="98" t="s">
        <v>28</v>
      </c>
      <c r="X69" s="98" t="s">
        <v>27</v>
      </c>
      <c r="Y69" s="98" t="s">
        <v>28</v>
      </c>
      <c r="Z69" s="98" t="s">
        <v>29</v>
      </c>
      <c r="AA69" s="66" t="s">
        <v>30</v>
      </c>
      <c r="AB69" s="153" t="s">
        <v>31</v>
      </c>
      <c r="AC69" s="153"/>
      <c r="AD69" s="153"/>
      <c r="AE69" s="100" t="s">
        <v>83</v>
      </c>
      <c r="AF69" s="98" t="s">
        <v>84</v>
      </c>
      <c r="AG69" s="98" t="s">
        <v>89</v>
      </c>
      <c r="AH69" s="100" t="s">
        <v>90</v>
      </c>
      <c r="AI69" s="100" t="s">
        <v>34</v>
      </c>
      <c r="AJ69" s="98" t="s">
        <v>32</v>
      </c>
      <c r="AK69" s="98" t="s">
        <v>32</v>
      </c>
      <c r="AL69" s="98" t="s">
        <v>49</v>
      </c>
      <c r="AM69" s="101" t="s">
        <v>36</v>
      </c>
      <c r="AO69" s="97" t="str">
        <f>informatieblad!$A$6</f>
        <v>FL20</v>
      </c>
      <c r="AP69" s="97" t="str">
        <f>informatieblad!$A$7</f>
        <v>FL30</v>
      </c>
      <c r="AQ69" s="99" t="str">
        <f>informatieblad!$A$8</f>
        <v>FL40</v>
      </c>
      <c r="AR69" s="266" t="str">
        <f>informatieblad!$A$5</f>
        <v>none</v>
      </c>
      <c r="AT69" s="266" t="s">
        <v>17</v>
      </c>
      <c r="AW69" s="266" t="s">
        <v>37</v>
      </c>
      <c r="AY69" s="269" t="s">
        <v>38</v>
      </c>
      <c r="AZ69" s="272">
        <f>informatieblad!$B$3</f>
        <v>0</v>
      </c>
      <c r="BA69" s="264">
        <f>informatieblad!$B$4</f>
        <v>0</v>
      </c>
    </row>
    <row r="70" spans="1:53">
      <c r="A70" s="481"/>
      <c r="B70" s="482" t="str">
        <f>IF($C71&gt;0,IF(MAX(B69:C69)&lt;informatieblad!$Q$4,informatieblad!$P$3,IF(MAX(B69:C69)&gt;informatieblad!$R$4,informatieblad!$P$5,informatieblad!$P$4)),"")</f>
        <v/>
      </c>
      <c r="C70" s="483"/>
      <c r="D70" s="303" t="str">
        <f>A69&amp;"-"&amp;informatieblad!$B$15&amp;"-"&amp;B69&amp;"-"&amp;C69&amp;"-"&amp;D69&amp;"-"&amp;E69&amp;"-"&amp;F69&amp;"-"&amp;G69&amp;"-"&amp;H69&amp;"-"&amp;I69&amp;"-"&amp;J69&amp;"-"&amp;K69&amp;"-"&amp;B70&amp;"-"&amp;G71</f>
        <v>-RctRR----0-0-0-0-----Options None</v>
      </c>
      <c r="E70" s="174"/>
      <c r="F70" s="174"/>
      <c r="G70" s="174"/>
      <c r="H70" s="469" t="s">
        <v>82</v>
      </c>
      <c r="I70" s="470"/>
      <c r="J70" s="470"/>
      <c r="K70" s="191" t="str">
        <f>(IF($C71&gt;0,(IF(MAX((MAX(B69,C69)-D69)/2,(D69-MAX(B69,C69)))*1.732&gt;270,MAX((MAX(B69,C69)-D69)/2,(D190-MAX(B69,C69)))*1.732,270)+30),""))</f>
        <v/>
      </c>
      <c r="L70" s="83"/>
      <c r="U70" s="103">
        <f>A69</f>
        <v>0</v>
      </c>
      <c r="V70" s="104" t="s">
        <v>39</v>
      </c>
      <c r="W70" s="104" t="s">
        <v>39</v>
      </c>
      <c r="X70" s="104" t="s">
        <v>40</v>
      </c>
      <c r="Y70" s="104" t="s">
        <v>40</v>
      </c>
      <c r="Z70" s="104" t="s">
        <v>40</v>
      </c>
      <c r="AA70" s="105"/>
      <c r="AB70" s="155" t="s">
        <v>27</v>
      </c>
      <c r="AC70" s="155" t="s">
        <v>40</v>
      </c>
      <c r="AD70" s="155" t="s">
        <v>41</v>
      </c>
      <c r="AE70" s="104"/>
      <c r="AG70" s="136" t="s">
        <v>15</v>
      </c>
      <c r="AH70" s="136" t="s">
        <v>16</v>
      </c>
      <c r="AI70" s="107"/>
      <c r="AJ70" s="104" t="s">
        <v>40</v>
      </c>
      <c r="AK70" s="104" t="s">
        <v>41</v>
      </c>
      <c r="AL70" s="108"/>
      <c r="AM70" s="109"/>
      <c r="AO70" s="262" t="str">
        <f>informatieblad!$A$2</f>
        <v>FL20 loose</v>
      </c>
      <c r="AP70" s="262" t="str">
        <f>informatieblad!$A$3</f>
        <v>FL30 loose</v>
      </c>
      <c r="AQ70" s="263" t="str">
        <f>informatieblad!$A$4</f>
        <v>FL40 loose</v>
      </c>
      <c r="AR70" s="282"/>
      <c r="AT70" s="267"/>
      <c r="AV70" s="83" t="str">
        <f>'UC mounting materials '!$B$10</f>
        <v>Rail 30x15</v>
      </c>
      <c r="AW70" s="327">
        <f>IF(AE71&lt;1000,(AE71+100),0)*C71</f>
        <v>0</v>
      </c>
      <c r="AY70" s="265" t="s">
        <v>47</v>
      </c>
      <c r="AZ70" s="83" t="s">
        <v>23</v>
      </c>
      <c r="BA70" s="273" t="s">
        <v>23</v>
      </c>
    </row>
    <row r="71" spans="1:53" ht="15.75" thickBot="1">
      <c r="A71" s="476"/>
      <c r="B71" s="186" t="s">
        <v>23</v>
      </c>
      <c r="C71" s="110"/>
      <c r="D71" s="139"/>
      <c r="E71" s="94">
        <f>C71*W71</f>
        <v>0</v>
      </c>
      <c r="F71" s="141" t="s">
        <v>24</v>
      </c>
      <c r="G71" s="451" t="s">
        <v>25</v>
      </c>
      <c r="H71" s="484"/>
      <c r="I71" s="484"/>
      <c r="J71" s="484"/>
      <c r="K71" s="485"/>
      <c r="L71" s="176"/>
      <c r="U71" s="111"/>
      <c r="V71" s="112">
        <f>ROUND((((2*(B69+C69))*AF71)/1000000),2)</f>
        <v>0</v>
      </c>
      <c r="W71" s="158">
        <f>((IF(V71&lt;=informatieblad!$I$15,informatieblad!$I$15,IF(V71&gt;=informatieblad!$I$15,V71))))</f>
        <v>1</v>
      </c>
      <c r="X71" s="112">
        <f>ROUND((((2*(B69+C69))*AF71)/1000000),2)</f>
        <v>0</v>
      </c>
      <c r="Y71" s="112">
        <f>((IF(X71&lt;=informatieblad!$H$15,informatieblad!$H$15,IF(X71&gt;=informatieblad!$H$15,X71))))</f>
        <v>0</v>
      </c>
      <c r="Z71" s="113">
        <f>((Y71*AJ71)+(Y71*AC71))*C71</f>
        <v>0</v>
      </c>
      <c r="AA71" s="114">
        <f>((W71*AK71)+(W71*AD71))*C71</f>
        <v>0</v>
      </c>
      <c r="AB71" s="115" t="str">
        <f>G71</f>
        <v>Options None</v>
      </c>
      <c r="AC71" s="115">
        <f>VLOOKUP(G71,informatieblad!$A$37:$D$41,2,FALSE)</f>
        <v>0</v>
      </c>
      <c r="AD71" s="115">
        <f>VLOOKUP(G71,informatieblad!$A$37:$D$41,4,FALSE)</f>
        <v>0</v>
      </c>
      <c r="AE71" s="160">
        <f>(MAX(B69:C69))</f>
        <v>0</v>
      </c>
      <c r="AF71" s="161">
        <f>(MAX(AH71,AG71))</f>
        <v>0</v>
      </c>
      <c r="AG71" s="162">
        <f>ROUND((SQRT((((MAX(E69,F69))^2)+(K69^2)))),0)</f>
        <v>0</v>
      </c>
      <c r="AH71" s="163">
        <f>ROUND((SQRT((((MAX(G69,H69))^2)+(K69^2)))),0)</f>
        <v>0</v>
      </c>
      <c r="AI71" s="119">
        <f>LOOKUP(AE71,informatieblad!$C$27:$C$32,informatieblad!$A$27:$A$32)</f>
        <v>0.5</v>
      </c>
      <c r="AJ71" s="118">
        <f>VLOOKUP(AI71,informatieblad!$A$27:$M$32,6,FALSE)</f>
        <v>0</v>
      </c>
      <c r="AK71" s="118">
        <f>VLOOKUP(AI71,informatieblad!$A$27:$M$32,8,FALSE)</f>
        <v>45.1248</v>
      </c>
      <c r="AL71" s="120">
        <f>VLOOKUP(AI71,informatieblad!$A$27:$M$32,13,FALSE)</f>
        <v>4</v>
      </c>
      <c r="AM71" s="121">
        <f>ROUND((AL71*X71),1)</f>
        <v>0</v>
      </c>
      <c r="AO71" s="111">
        <f>(IF(B70=AO69,((2*B69)+(2*C69)),IF(B70=AO70,((2*B69)+(2*C69)),0)))*C71</f>
        <v>0</v>
      </c>
      <c r="AP71" s="111">
        <f>(IF(B70=AP69,((2*B69)+(2*C69)),IF(B70=AP70,((2*B69)+(2*C69)),0)))*C71</f>
        <v>0</v>
      </c>
      <c r="AQ71" s="261">
        <f>(IF(B70=AQ69,((2*B69)+(2*C69)),IF(B70=AQ70,((2*B69)+(2*C69)),0)))*C71</f>
        <v>0</v>
      </c>
      <c r="AR71" s="283">
        <f>(IF(B70=AR69,((2*B69)+(2*C69)),0))*C71</f>
        <v>0</v>
      </c>
      <c r="AT71" s="268">
        <f>K69*C71</f>
        <v>0</v>
      </c>
      <c r="AV71" s="83" t="str">
        <f>'UC mounting materials '!$B$11</f>
        <v>Rail 41x41</v>
      </c>
      <c r="AW71" s="268">
        <f>IF(AE71&gt;999,(AE71+100),0)*C71</f>
        <v>0</v>
      </c>
      <c r="AY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AZ71" s="276">
        <f>IF(AY71=AZ69,(4*C71),0)</f>
        <v>0</v>
      </c>
      <c r="BA71" s="274">
        <f>IF(AY71=BA69,(4*C71),0)</f>
        <v>0</v>
      </c>
    </row>
    <row r="72" spans="1:53" ht="5.0999999999999996" customHeight="1" thickBot="1">
      <c r="A72" s="145"/>
      <c r="B72" s="122"/>
      <c r="C72" s="122"/>
      <c r="D72" s="122"/>
      <c r="E72" s="122"/>
      <c r="F72" s="122"/>
      <c r="G72" s="122"/>
      <c r="H72" s="122"/>
      <c r="I72" s="122"/>
      <c r="J72" s="122"/>
      <c r="K72" s="146"/>
    </row>
    <row r="73" spans="1:53" ht="15" thickBot="1">
      <c r="A73" s="445"/>
      <c r="B73" s="96"/>
      <c r="C73" s="96"/>
      <c r="D73" s="96"/>
      <c r="E73" s="96">
        <f>(B73-D73)/2</f>
        <v>0</v>
      </c>
      <c r="F73" s="167">
        <f>B73-D73-E73</f>
        <v>0</v>
      </c>
      <c r="G73" s="96">
        <f>(C73-D73)/2</f>
        <v>0</v>
      </c>
      <c r="H73" s="167">
        <f>C73-D73-G73</f>
        <v>0</v>
      </c>
      <c r="I73" s="300" t="str">
        <f>IF($B73&gt;0,$K$10,"")</f>
        <v/>
      </c>
      <c r="J73" s="300" t="str">
        <f>IF($B73&gt;0,$K$11,"")</f>
        <v/>
      </c>
      <c r="K73" s="178"/>
      <c r="L73" s="345" t="s">
        <v>20</v>
      </c>
      <c r="U73" s="97" t="s">
        <v>14</v>
      </c>
      <c r="V73" s="98" t="s">
        <v>27</v>
      </c>
      <c r="W73" s="98" t="s">
        <v>28</v>
      </c>
      <c r="X73" s="98" t="s">
        <v>27</v>
      </c>
      <c r="Y73" s="98" t="s">
        <v>28</v>
      </c>
      <c r="Z73" s="98" t="s">
        <v>29</v>
      </c>
      <c r="AA73" s="66" t="s">
        <v>30</v>
      </c>
      <c r="AB73" s="153" t="s">
        <v>31</v>
      </c>
      <c r="AC73" s="153"/>
      <c r="AD73" s="153"/>
      <c r="AE73" s="100" t="s">
        <v>83</v>
      </c>
      <c r="AF73" s="98" t="s">
        <v>84</v>
      </c>
      <c r="AG73" s="98" t="s">
        <v>89</v>
      </c>
      <c r="AH73" s="100" t="s">
        <v>90</v>
      </c>
      <c r="AI73" s="100" t="s">
        <v>34</v>
      </c>
      <c r="AJ73" s="98" t="s">
        <v>32</v>
      </c>
      <c r="AK73" s="98" t="s">
        <v>32</v>
      </c>
      <c r="AL73" s="98" t="s">
        <v>49</v>
      </c>
      <c r="AM73" s="101" t="s">
        <v>36</v>
      </c>
      <c r="AO73" s="97" t="str">
        <f>informatieblad!$A$6</f>
        <v>FL20</v>
      </c>
      <c r="AP73" s="97" t="str">
        <f>informatieblad!$A$7</f>
        <v>FL30</v>
      </c>
      <c r="AQ73" s="99" t="str">
        <f>informatieblad!$A$8</f>
        <v>FL40</v>
      </c>
      <c r="AR73" s="266" t="str">
        <f>informatieblad!$A$5</f>
        <v>none</v>
      </c>
      <c r="AT73" s="266" t="s">
        <v>17</v>
      </c>
      <c r="AW73" s="266" t="s">
        <v>37</v>
      </c>
      <c r="AY73" s="269" t="s">
        <v>38</v>
      </c>
      <c r="AZ73" s="272">
        <f>informatieblad!$B$3</f>
        <v>0</v>
      </c>
      <c r="BA73" s="264">
        <f>informatieblad!$B$4</f>
        <v>0</v>
      </c>
    </row>
    <row r="74" spans="1:53">
      <c r="A74" s="481"/>
      <c r="B74" s="482" t="str">
        <f>IF($C75&gt;0,IF(MAX(B73:C73)&lt;informatieblad!$Q$4,informatieblad!$P$3,IF(MAX(B73:C73)&gt;informatieblad!$R$4,informatieblad!$P$5,informatieblad!$P$4)),"")</f>
        <v/>
      </c>
      <c r="C74" s="483"/>
      <c r="D74" s="303" t="str">
        <f>A73&amp;"-"&amp;informatieblad!$B$15&amp;"-"&amp;B73&amp;"-"&amp;C73&amp;"-"&amp;D73&amp;"-"&amp;E73&amp;"-"&amp;F73&amp;"-"&amp;G73&amp;"-"&amp;H73&amp;"-"&amp;I73&amp;"-"&amp;J73&amp;"-"&amp;K73&amp;"-"&amp;B74&amp;"-"&amp;G75</f>
        <v>-RctRR----0-0-0-0-----Options None</v>
      </c>
      <c r="E74" s="174"/>
      <c r="F74" s="174"/>
      <c r="G74" s="174"/>
      <c r="H74" s="469" t="s">
        <v>82</v>
      </c>
      <c r="I74" s="470"/>
      <c r="J74" s="470"/>
      <c r="K74" s="191" t="str">
        <f>(IF($C75&gt;0,(IF(MAX((MAX(B73,C73)-D73)/2,(D73-MAX(B73,C73)))*1.732&gt;270,MAX((MAX(B73,C73)-D73)/2,(D194-MAX(B73,C73)))*1.732,270)+30),""))</f>
        <v/>
      </c>
      <c r="L74" s="83"/>
      <c r="U74" s="103">
        <f>A73</f>
        <v>0</v>
      </c>
      <c r="V74" s="104" t="s">
        <v>39</v>
      </c>
      <c r="W74" s="104" t="s">
        <v>39</v>
      </c>
      <c r="X74" s="104" t="s">
        <v>40</v>
      </c>
      <c r="Y74" s="104" t="s">
        <v>40</v>
      </c>
      <c r="Z74" s="104" t="s">
        <v>40</v>
      </c>
      <c r="AA74" s="105"/>
      <c r="AB74" s="155" t="s">
        <v>27</v>
      </c>
      <c r="AC74" s="155" t="s">
        <v>40</v>
      </c>
      <c r="AD74" s="155" t="s">
        <v>41</v>
      </c>
      <c r="AE74" s="104"/>
      <c r="AG74" s="136" t="s">
        <v>15</v>
      </c>
      <c r="AH74" s="136" t="s">
        <v>16</v>
      </c>
      <c r="AI74" s="107"/>
      <c r="AJ74" s="104" t="s">
        <v>40</v>
      </c>
      <c r="AK74" s="104" t="s">
        <v>41</v>
      </c>
      <c r="AL74" s="108"/>
      <c r="AM74" s="109"/>
      <c r="AO74" s="262" t="str">
        <f>informatieblad!$A$2</f>
        <v>FL20 loose</v>
      </c>
      <c r="AP74" s="262" t="str">
        <f>informatieblad!$A$3</f>
        <v>FL30 loose</v>
      </c>
      <c r="AQ74" s="263" t="str">
        <f>informatieblad!$A$4</f>
        <v>FL40 loose</v>
      </c>
      <c r="AR74" s="282"/>
      <c r="AT74" s="267"/>
      <c r="AV74" s="83" t="str">
        <f>'UC mounting materials '!$B$10</f>
        <v>Rail 30x15</v>
      </c>
      <c r="AW74" s="327">
        <f>IF(AE75&lt;1000,(AE75+100),0)*C75</f>
        <v>0</v>
      </c>
      <c r="AY74" s="265" t="s">
        <v>47</v>
      </c>
      <c r="AZ74" s="83" t="s">
        <v>23</v>
      </c>
      <c r="BA74" s="273" t="s">
        <v>23</v>
      </c>
    </row>
    <row r="75" spans="1:53" ht="15.75" thickBot="1">
      <c r="A75" s="476"/>
      <c r="B75" s="186" t="s">
        <v>23</v>
      </c>
      <c r="C75" s="110"/>
      <c r="D75" s="139"/>
      <c r="E75" s="94">
        <f>C75*W75</f>
        <v>0</v>
      </c>
      <c r="F75" s="141" t="s">
        <v>24</v>
      </c>
      <c r="G75" s="451" t="s">
        <v>25</v>
      </c>
      <c r="H75" s="484"/>
      <c r="I75" s="484"/>
      <c r="J75" s="484"/>
      <c r="K75" s="485"/>
      <c r="L75" s="176"/>
      <c r="U75" s="111"/>
      <c r="V75" s="112">
        <f>ROUND((((2*(B73+C73))*AF75)/1000000),2)</f>
        <v>0</v>
      </c>
      <c r="W75" s="158">
        <f>((IF(V75&lt;=informatieblad!$I$15,informatieblad!$I$15,IF(V75&gt;=informatieblad!$I$15,V75))))</f>
        <v>1</v>
      </c>
      <c r="X75" s="112">
        <f>ROUND((((2*(B73+C73))*AF75)/1000000),2)</f>
        <v>0</v>
      </c>
      <c r="Y75" s="112">
        <f>((IF(X75&lt;=informatieblad!$H$15,informatieblad!$H$15,IF(X75&gt;=informatieblad!$H$15,X75))))</f>
        <v>0</v>
      </c>
      <c r="Z75" s="113">
        <f>((Y75*AJ75)+(Y75*AC75))*C75</f>
        <v>0</v>
      </c>
      <c r="AA75" s="114">
        <f>((W75*AK75)+(W75*AD75))*C75</f>
        <v>0</v>
      </c>
      <c r="AB75" s="115" t="str">
        <f>G75</f>
        <v>Options None</v>
      </c>
      <c r="AC75" s="115">
        <f>VLOOKUP(G75,informatieblad!$A$37:$D$41,2,FALSE)</f>
        <v>0</v>
      </c>
      <c r="AD75" s="115">
        <f>VLOOKUP(G75,informatieblad!$A$37:$D$41,4,FALSE)</f>
        <v>0</v>
      </c>
      <c r="AE75" s="160">
        <f>(MAX(B73:C73))</f>
        <v>0</v>
      </c>
      <c r="AF75" s="161">
        <f>(MAX(AH75,AG75))</f>
        <v>0</v>
      </c>
      <c r="AG75" s="162">
        <f>ROUND((SQRT((((MAX(E73,F73))^2)+(K73^2)))),0)</f>
        <v>0</v>
      </c>
      <c r="AH75" s="163">
        <f>ROUND((SQRT((((MAX(G73,H73))^2)+(K73^2)))),0)</f>
        <v>0</v>
      </c>
      <c r="AI75" s="119">
        <f>LOOKUP(AE75,informatieblad!$C$27:$C$32,informatieblad!$A$27:$A$32)</f>
        <v>0.5</v>
      </c>
      <c r="AJ75" s="118">
        <f>VLOOKUP(AI75,informatieblad!$A$27:$M$32,6,FALSE)</f>
        <v>0</v>
      </c>
      <c r="AK75" s="118">
        <f>VLOOKUP(AI75,informatieblad!$A$27:$M$32,8,FALSE)</f>
        <v>45.1248</v>
      </c>
      <c r="AL75" s="120">
        <f>VLOOKUP(AI75,informatieblad!$A$27:$M$32,13,FALSE)</f>
        <v>4</v>
      </c>
      <c r="AM75" s="121">
        <f>ROUND((AL75*X75),1)</f>
        <v>0</v>
      </c>
      <c r="AO75" s="111">
        <f>(IF(B74=AO73,((2*B73)+(2*C73)),IF(B74=AO74,((2*B73)+(2*C73)),0)))*C75</f>
        <v>0</v>
      </c>
      <c r="AP75" s="111">
        <f>(IF(B74=AP73,((2*B73)+(2*C73)),IF(B74=AP74,((2*B73)+(2*C73)),0)))*C75</f>
        <v>0</v>
      </c>
      <c r="AQ75" s="261">
        <f>(IF(B74=AQ73,((2*B73)+(2*C73)),IF(B74=AQ74,((2*B73)+(2*C73)),0)))*C75</f>
        <v>0</v>
      </c>
      <c r="AR75" s="283">
        <f>(IF(B74=AR73,((2*B73)+(2*C73)),0))*C75</f>
        <v>0</v>
      </c>
      <c r="AT75" s="268">
        <f>K73*C75</f>
        <v>0</v>
      </c>
      <c r="AV75" s="83" t="str">
        <f>'UC mounting materials '!$B$11</f>
        <v>Rail 41x41</v>
      </c>
      <c r="AW75" s="268">
        <f>IF(AE75&gt;999,(AE75+100),0)*C75</f>
        <v>0</v>
      </c>
      <c r="AY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AZ75" s="276">
        <f>IF(AY75=AZ73,(4*C75),0)</f>
        <v>0</v>
      </c>
      <c r="BA75" s="274">
        <f>IF(AY75=BA73,(4*C75),0)</f>
        <v>0</v>
      </c>
    </row>
    <row r="76" spans="1:53" ht="5.0999999999999996" customHeight="1" thickBot="1">
      <c r="A76" s="145"/>
      <c r="B76" s="122"/>
      <c r="C76" s="122"/>
      <c r="D76" s="122"/>
      <c r="E76" s="122"/>
      <c r="F76" s="122"/>
      <c r="G76" s="122"/>
      <c r="H76" s="122"/>
      <c r="I76" s="122"/>
      <c r="J76" s="122"/>
      <c r="K76" s="146"/>
    </row>
    <row r="77" spans="1:53" ht="15" thickBot="1">
      <c r="A77" s="445"/>
      <c r="B77" s="96"/>
      <c r="C77" s="96"/>
      <c r="D77" s="96"/>
      <c r="E77" s="96">
        <f>(B77-D77)/2</f>
        <v>0</v>
      </c>
      <c r="F77" s="167">
        <f>B77-D77-E77</f>
        <v>0</v>
      </c>
      <c r="G77" s="96">
        <f>(C77-D77)/2</f>
        <v>0</v>
      </c>
      <c r="H77" s="167">
        <f>C77-D77-G77</f>
        <v>0</v>
      </c>
      <c r="I77" s="300" t="str">
        <f>IF($B77&gt;0,$K$10,"")</f>
        <v/>
      </c>
      <c r="J77" s="300" t="str">
        <f>IF($B77&gt;0,$K$11,"")</f>
        <v/>
      </c>
      <c r="K77" s="178"/>
      <c r="L77" s="345" t="s">
        <v>20</v>
      </c>
      <c r="U77" s="97" t="s">
        <v>14</v>
      </c>
      <c r="V77" s="98" t="s">
        <v>27</v>
      </c>
      <c r="W77" s="98" t="s">
        <v>28</v>
      </c>
      <c r="X77" s="98" t="s">
        <v>27</v>
      </c>
      <c r="Y77" s="98" t="s">
        <v>28</v>
      </c>
      <c r="Z77" s="98" t="s">
        <v>29</v>
      </c>
      <c r="AA77" s="66" t="s">
        <v>30</v>
      </c>
      <c r="AB77" s="153" t="s">
        <v>31</v>
      </c>
      <c r="AC77" s="153"/>
      <c r="AD77" s="153"/>
      <c r="AE77" s="100" t="s">
        <v>83</v>
      </c>
      <c r="AF77" s="98" t="s">
        <v>84</v>
      </c>
      <c r="AG77" s="98" t="s">
        <v>89</v>
      </c>
      <c r="AH77" s="100" t="s">
        <v>90</v>
      </c>
      <c r="AI77" s="100" t="s">
        <v>34</v>
      </c>
      <c r="AJ77" s="98" t="s">
        <v>32</v>
      </c>
      <c r="AK77" s="98" t="s">
        <v>32</v>
      </c>
      <c r="AL77" s="98" t="s">
        <v>49</v>
      </c>
      <c r="AM77" s="101" t="s">
        <v>36</v>
      </c>
      <c r="AO77" s="97" t="str">
        <f>informatieblad!$A$6</f>
        <v>FL20</v>
      </c>
      <c r="AP77" s="97" t="str">
        <f>informatieblad!$A$7</f>
        <v>FL30</v>
      </c>
      <c r="AQ77" s="99" t="str">
        <f>informatieblad!$A$8</f>
        <v>FL40</v>
      </c>
      <c r="AR77" s="266" t="str">
        <f>informatieblad!$A$5</f>
        <v>none</v>
      </c>
      <c r="AT77" s="266" t="s">
        <v>17</v>
      </c>
      <c r="AW77" s="266" t="s">
        <v>37</v>
      </c>
      <c r="AY77" s="269" t="s">
        <v>38</v>
      </c>
      <c r="AZ77" s="272">
        <f>informatieblad!$B$3</f>
        <v>0</v>
      </c>
      <c r="BA77" s="264">
        <f>informatieblad!$B$4</f>
        <v>0</v>
      </c>
    </row>
    <row r="78" spans="1:53">
      <c r="A78" s="481"/>
      <c r="B78" s="482" t="str">
        <f>IF($C79&gt;0,IF(MAX(B77:C77)&lt;informatieblad!$Q$4,informatieblad!$P$3,IF(MAX(B77:C77)&gt;informatieblad!$R$4,informatieblad!$P$5,informatieblad!$P$4)),"")</f>
        <v/>
      </c>
      <c r="C78" s="483"/>
      <c r="D78" s="303" t="str">
        <f>A77&amp;"-"&amp;informatieblad!$B$15&amp;"-"&amp;B77&amp;"-"&amp;C77&amp;"-"&amp;D77&amp;"-"&amp;E77&amp;"-"&amp;F77&amp;"-"&amp;G77&amp;"-"&amp;H77&amp;"-"&amp;I77&amp;"-"&amp;J77&amp;"-"&amp;K77&amp;"-"&amp;B78&amp;"-"&amp;G79</f>
        <v>-RctRR----0-0-0-0-----Options None</v>
      </c>
      <c r="E78" s="174"/>
      <c r="F78" s="174"/>
      <c r="G78" s="174"/>
      <c r="H78" s="469" t="s">
        <v>82</v>
      </c>
      <c r="I78" s="470"/>
      <c r="J78" s="470"/>
      <c r="K78" s="191" t="str">
        <f>(IF($C79&gt;0,(IF(MAX((MAX(B77,C77)-D77)/2,(D77-MAX(B77,C77)))*1.732&gt;270,MAX((MAX(B77,C77)-D77)/2,(D198-MAX(B77,C77)))*1.732,270)+30),""))</f>
        <v/>
      </c>
      <c r="L78" s="83"/>
      <c r="U78" s="103">
        <f>A77</f>
        <v>0</v>
      </c>
      <c r="V78" s="104" t="s">
        <v>39</v>
      </c>
      <c r="W78" s="104" t="s">
        <v>39</v>
      </c>
      <c r="X78" s="104" t="s">
        <v>40</v>
      </c>
      <c r="Y78" s="104" t="s">
        <v>40</v>
      </c>
      <c r="Z78" s="104" t="s">
        <v>40</v>
      </c>
      <c r="AA78" s="105"/>
      <c r="AB78" s="155" t="s">
        <v>27</v>
      </c>
      <c r="AC78" s="155" t="s">
        <v>40</v>
      </c>
      <c r="AD78" s="155" t="s">
        <v>41</v>
      </c>
      <c r="AE78" s="104"/>
      <c r="AG78" s="136" t="s">
        <v>15</v>
      </c>
      <c r="AH78" s="136" t="s">
        <v>16</v>
      </c>
      <c r="AI78" s="107"/>
      <c r="AJ78" s="104" t="s">
        <v>40</v>
      </c>
      <c r="AK78" s="104" t="s">
        <v>41</v>
      </c>
      <c r="AL78" s="108"/>
      <c r="AM78" s="109"/>
      <c r="AO78" s="262" t="str">
        <f>informatieblad!$A$2</f>
        <v>FL20 loose</v>
      </c>
      <c r="AP78" s="262" t="str">
        <f>informatieblad!$A$3</f>
        <v>FL30 loose</v>
      </c>
      <c r="AQ78" s="263" t="str">
        <f>informatieblad!$A$4</f>
        <v>FL40 loose</v>
      </c>
      <c r="AR78" s="282"/>
      <c r="AT78" s="267"/>
      <c r="AV78" s="83" t="str">
        <f>'UC mounting materials '!$B$10</f>
        <v>Rail 30x15</v>
      </c>
      <c r="AW78" s="327">
        <f>IF(AE79&lt;1000,(AE79+100),0)*C79</f>
        <v>0</v>
      </c>
      <c r="AY78" s="265" t="s">
        <v>47</v>
      </c>
      <c r="AZ78" s="83" t="s">
        <v>23</v>
      </c>
      <c r="BA78" s="273" t="s">
        <v>23</v>
      </c>
    </row>
    <row r="79" spans="1:53" ht="15.75" thickBot="1">
      <c r="A79" s="476"/>
      <c r="B79" s="186" t="s">
        <v>23</v>
      </c>
      <c r="C79" s="110"/>
      <c r="D79" s="139"/>
      <c r="E79" s="94">
        <f>C79*W79</f>
        <v>0</v>
      </c>
      <c r="F79" s="141" t="s">
        <v>24</v>
      </c>
      <c r="G79" s="451" t="s">
        <v>25</v>
      </c>
      <c r="H79" s="484"/>
      <c r="I79" s="484"/>
      <c r="J79" s="484"/>
      <c r="K79" s="485"/>
      <c r="L79" s="176"/>
      <c r="U79" s="111"/>
      <c r="V79" s="112">
        <f>ROUND((((2*(B77+C77))*AF79)/1000000),2)</f>
        <v>0</v>
      </c>
      <c r="W79" s="158">
        <f>((IF(V79&lt;=informatieblad!$I$15,informatieblad!$I$15,IF(V79&gt;=informatieblad!$I$15,V79))))</f>
        <v>1</v>
      </c>
      <c r="X79" s="112">
        <f>ROUND((((2*(B77+C77))*AF79)/1000000),2)</f>
        <v>0</v>
      </c>
      <c r="Y79" s="112">
        <f>((IF(X79&lt;=informatieblad!$H$15,informatieblad!$H$15,IF(X79&gt;=informatieblad!$H$15,X79))))</f>
        <v>0</v>
      </c>
      <c r="Z79" s="113">
        <f>((Y79*AJ79)+(Y79*AC79))*C79</f>
        <v>0</v>
      </c>
      <c r="AA79" s="114">
        <f>((W79*AK79)+(W79*AD79))*C79</f>
        <v>0</v>
      </c>
      <c r="AB79" s="115" t="str">
        <f>G79</f>
        <v>Options None</v>
      </c>
      <c r="AC79" s="115">
        <f>VLOOKUP(G79,informatieblad!$A$37:$D$41,2,FALSE)</f>
        <v>0</v>
      </c>
      <c r="AD79" s="115">
        <f>VLOOKUP(G79,informatieblad!$A$37:$D$41,4,FALSE)</f>
        <v>0</v>
      </c>
      <c r="AE79" s="160">
        <f>(MAX(B77:C77))</f>
        <v>0</v>
      </c>
      <c r="AF79" s="161">
        <f>(MAX(AH79,AG79))</f>
        <v>0</v>
      </c>
      <c r="AG79" s="162">
        <f>ROUND((SQRT((((MAX(E77,F77))^2)+(K77^2)))),0)</f>
        <v>0</v>
      </c>
      <c r="AH79" s="163">
        <f>ROUND((SQRT((((MAX(G77,H77))^2)+(K77^2)))),0)</f>
        <v>0</v>
      </c>
      <c r="AI79" s="119">
        <f>LOOKUP(AE79,informatieblad!$C$27:$C$32,informatieblad!$A$27:$A$32)</f>
        <v>0.5</v>
      </c>
      <c r="AJ79" s="118">
        <f>VLOOKUP(AI79,informatieblad!$A$27:$M$32,6,FALSE)</f>
        <v>0</v>
      </c>
      <c r="AK79" s="118">
        <f>VLOOKUP(AI79,informatieblad!$A$27:$M$32,8,FALSE)</f>
        <v>45.1248</v>
      </c>
      <c r="AL79" s="120">
        <f>VLOOKUP(AI79,informatieblad!$A$27:$M$32,13,FALSE)</f>
        <v>4</v>
      </c>
      <c r="AM79" s="121">
        <f>ROUND((AL79*X79),1)</f>
        <v>0</v>
      </c>
      <c r="AO79" s="111">
        <f>(IF(B78=AO77,((2*B77)+(2*C77)),IF(B78=AO78,((2*B77)+(2*C77)),0)))*C79</f>
        <v>0</v>
      </c>
      <c r="AP79" s="111">
        <f>(IF(B78=AP77,((2*B77)+(2*C77)),IF(B78=AP78,((2*B77)+(2*C77)),0)))*C79</f>
        <v>0</v>
      </c>
      <c r="AQ79" s="261">
        <f>(IF(B78=AQ77,((2*B77)+(2*C77)),IF(B78=AQ78,((2*B77)+(2*C77)),0)))*C79</f>
        <v>0</v>
      </c>
      <c r="AR79" s="283">
        <f>(IF(B78=AR77,((2*B77)+(2*C77)),0))*C79</f>
        <v>0</v>
      </c>
      <c r="AT79" s="268">
        <f>K77*C79</f>
        <v>0</v>
      </c>
      <c r="AV79" s="83" t="str">
        <f>'UC mounting materials '!$B$11</f>
        <v>Rail 41x41</v>
      </c>
      <c r="AW79" s="268">
        <f>IF(AE79&gt;999,(AE79+100),0)*C79</f>
        <v>0</v>
      </c>
      <c r="AY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AZ79" s="276">
        <f>IF(AY79=AZ77,(4*C79),0)</f>
        <v>0</v>
      </c>
      <c r="BA79" s="274">
        <f>IF(AY79=BA77,(4*C79),0)</f>
        <v>0</v>
      </c>
    </row>
    <row r="80" spans="1:53" ht="5.0999999999999996" customHeight="1" thickBot="1">
      <c r="A80" s="145"/>
      <c r="B80" s="122"/>
      <c r="C80" s="122"/>
      <c r="D80" s="122"/>
      <c r="E80" s="122"/>
      <c r="F80" s="122"/>
      <c r="G80" s="122"/>
      <c r="H80" s="122"/>
      <c r="I80" s="122"/>
      <c r="J80" s="122"/>
      <c r="K80" s="146"/>
    </row>
    <row r="81" spans="1:53" ht="15" thickBot="1">
      <c r="A81" s="445"/>
      <c r="B81" s="96"/>
      <c r="C81" s="96"/>
      <c r="D81" s="96"/>
      <c r="E81" s="96">
        <f>(B81-D81)/2</f>
        <v>0</v>
      </c>
      <c r="F81" s="167">
        <f>B81-D81-E81</f>
        <v>0</v>
      </c>
      <c r="G81" s="96">
        <f>(C81-D81)/2</f>
        <v>0</v>
      </c>
      <c r="H81" s="167">
        <f>C81-D81-G81</f>
        <v>0</v>
      </c>
      <c r="I81" s="300" t="str">
        <f>IF($B81&gt;0,$K$10,"")</f>
        <v/>
      </c>
      <c r="J81" s="300" t="str">
        <f>IF($B81&gt;0,$K$11,"")</f>
        <v/>
      </c>
      <c r="K81" s="178"/>
      <c r="L81" s="345" t="s">
        <v>20</v>
      </c>
      <c r="U81" s="97" t="s">
        <v>14</v>
      </c>
      <c r="V81" s="98" t="s">
        <v>27</v>
      </c>
      <c r="W81" s="98" t="s">
        <v>28</v>
      </c>
      <c r="X81" s="98" t="s">
        <v>27</v>
      </c>
      <c r="Y81" s="98" t="s">
        <v>28</v>
      </c>
      <c r="Z81" s="98" t="s">
        <v>29</v>
      </c>
      <c r="AA81" s="66" t="s">
        <v>30</v>
      </c>
      <c r="AB81" s="153" t="s">
        <v>31</v>
      </c>
      <c r="AC81" s="153"/>
      <c r="AD81" s="153"/>
      <c r="AE81" s="100" t="s">
        <v>83</v>
      </c>
      <c r="AF81" s="98" t="s">
        <v>84</v>
      </c>
      <c r="AG81" s="98" t="s">
        <v>89</v>
      </c>
      <c r="AH81" s="100" t="s">
        <v>90</v>
      </c>
      <c r="AI81" s="100" t="s">
        <v>34</v>
      </c>
      <c r="AJ81" s="98" t="s">
        <v>32</v>
      </c>
      <c r="AK81" s="98" t="s">
        <v>32</v>
      </c>
      <c r="AL81" s="98" t="s">
        <v>49</v>
      </c>
      <c r="AM81" s="101" t="s">
        <v>36</v>
      </c>
      <c r="AO81" s="97" t="str">
        <f>informatieblad!$A$6</f>
        <v>FL20</v>
      </c>
      <c r="AP81" s="97" t="str">
        <f>informatieblad!$A$7</f>
        <v>FL30</v>
      </c>
      <c r="AQ81" s="99" t="str">
        <f>informatieblad!$A$8</f>
        <v>FL40</v>
      </c>
      <c r="AR81" s="266" t="str">
        <f>informatieblad!$A$5</f>
        <v>none</v>
      </c>
      <c r="AT81" s="266" t="s">
        <v>17</v>
      </c>
      <c r="AW81" s="266" t="s">
        <v>37</v>
      </c>
      <c r="AY81" s="269" t="s">
        <v>38</v>
      </c>
      <c r="AZ81" s="272">
        <f>informatieblad!$B$3</f>
        <v>0</v>
      </c>
      <c r="BA81" s="264">
        <f>informatieblad!$B$4</f>
        <v>0</v>
      </c>
    </row>
    <row r="82" spans="1:53">
      <c r="A82" s="481"/>
      <c r="B82" s="482" t="str">
        <f>IF($C83&gt;0,IF(MAX(B81:C81)&lt;informatieblad!$Q$4,informatieblad!$P$3,IF(MAX(B81:C81)&gt;informatieblad!$R$4,informatieblad!$P$5,informatieblad!$P$4)),"")</f>
        <v/>
      </c>
      <c r="C82" s="483"/>
      <c r="D82" s="190" t="str">
        <f>A81&amp;"-"&amp;informatieblad!$B$15&amp;"-"&amp;B81&amp;"-"&amp;C81&amp;"-"&amp;D81&amp;"-"&amp;E81&amp;"-"&amp;F81&amp;"-"&amp;G81&amp;"-"&amp;H81&amp;"-"&amp;I81&amp;"-"&amp;J81&amp;"-"&amp;K81&amp;"-"&amp;B82&amp;"-"&amp;G83</f>
        <v>-RctRR----0-0-0-0-----Options None</v>
      </c>
      <c r="E82" s="174"/>
      <c r="F82" s="174"/>
      <c r="G82" s="174"/>
      <c r="H82" s="469" t="s">
        <v>82</v>
      </c>
      <c r="I82" s="470"/>
      <c r="J82" s="470"/>
      <c r="K82" s="191" t="str">
        <f>(IF($C83&gt;0,(IF(MAX((MAX(B81,C81)-D81)/2,(D81-MAX(B81,C81)))*1.732&gt;270,MAX((MAX(B81,C81)-D81)/2,(D202-MAX(B81,C81)))*1.732,270)+30),""))</f>
        <v/>
      </c>
      <c r="L82" s="83"/>
      <c r="U82" s="103">
        <f>A81</f>
        <v>0</v>
      </c>
      <c r="V82" s="104" t="s">
        <v>39</v>
      </c>
      <c r="W82" s="104" t="s">
        <v>39</v>
      </c>
      <c r="X82" s="104" t="s">
        <v>40</v>
      </c>
      <c r="Y82" s="104" t="s">
        <v>40</v>
      </c>
      <c r="Z82" s="104" t="s">
        <v>40</v>
      </c>
      <c r="AA82" s="105"/>
      <c r="AB82" s="155" t="s">
        <v>27</v>
      </c>
      <c r="AC82" s="155" t="s">
        <v>40</v>
      </c>
      <c r="AD82" s="155" t="s">
        <v>41</v>
      </c>
      <c r="AE82" s="104"/>
      <c r="AG82" s="136" t="s">
        <v>15</v>
      </c>
      <c r="AH82" s="136" t="s">
        <v>16</v>
      </c>
      <c r="AI82" s="107"/>
      <c r="AJ82" s="104" t="s">
        <v>40</v>
      </c>
      <c r="AK82" s="104" t="s">
        <v>41</v>
      </c>
      <c r="AL82" s="108"/>
      <c r="AM82" s="109"/>
      <c r="AO82" s="262" t="str">
        <f>informatieblad!$A$2</f>
        <v>FL20 loose</v>
      </c>
      <c r="AP82" s="262" t="str">
        <f>informatieblad!$A$3</f>
        <v>FL30 loose</v>
      </c>
      <c r="AQ82" s="263" t="str">
        <f>informatieblad!$A$4</f>
        <v>FL40 loose</v>
      </c>
      <c r="AR82" s="282"/>
      <c r="AT82" s="267"/>
      <c r="AV82" s="83" t="str">
        <f>'UC mounting materials '!$B$10</f>
        <v>Rail 30x15</v>
      </c>
      <c r="AW82" s="327">
        <f>IF(AE83&lt;1000,(AE83+100),0)*C83</f>
        <v>0</v>
      </c>
      <c r="AY82" s="265" t="s">
        <v>47</v>
      </c>
      <c r="AZ82" s="83" t="s">
        <v>23</v>
      </c>
      <c r="BA82" s="273" t="s">
        <v>23</v>
      </c>
    </row>
    <row r="83" spans="1:53" ht="15.75" thickBot="1">
      <c r="A83" s="476"/>
      <c r="B83" s="186" t="s">
        <v>23</v>
      </c>
      <c r="C83" s="110"/>
      <c r="D83" s="139"/>
      <c r="E83" s="94">
        <f>C83*W83</f>
        <v>0</v>
      </c>
      <c r="F83" s="141" t="s">
        <v>24</v>
      </c>
      <c r="G83" s="451" t="s">
        <v>25</v>
      </c>
      <c r="H83" s="484"/>
      <c r="I83" s="484"/>
      <c r="J83" s="484"/>
      <c r="K83" s="485"/>
      <c r="L83" s="176"/>
      <c r="U83" s="111"/>
      <c r="V83" s="112">
        <f>ROUND((((2*(B81+C81))*AF83)/1000000),2)</f>
        <v>0</v>
      </c>
      <c r="W83" s="158">
        <f>((IF(V83&lt;=informatieblad!$I$15,informatieblad!$I$15,IF(V83&gt;=informatieblad!$I$15,V83))))</f>
        <v>1</v>
      </c>
      <c r="X83" s="112">
        <f>ROUND((((2*(B81+C81))*AF83)/1000000),2)</f>
        <v>0</v>
      </c>
      <c r="Y83" s="112">
        <f>((IF(X83&lt;=informatieblad!$H$15,informatieblad!$H$15,IF(X83&gt;=informatieblad!$H$15,X83))))</f>
        <v>0</v>
      </c>
      <c r="Z83" s="113">
        <f>((Y83*AJ83)+(Y83*AC83))*C83</f>
        <v>0</v>
      </c>
      <c r="AA83" s="114">
        <f>((W83*AK83)+(W83*AD83))*C83</f>
        <v>0</v>
      </c>
      <c r="AB83" s="115" t="str">
        <f>G83</f>
        <v>Options None</v>
      </c>
      <c r="AC83" s="115">
        <f>VLOOKUP(G83,informatieblad!$A$37:$D$41,2,FALSE)</f>
        <v>0</v>
      </c>
      <c r="AD83" s="115">
        <f>VLOOKUP(G83,informatieblad!$A$37:$D$41,4,FALSE)</f>
        <v>0</v>
      </c>
      <c r="AE83" s="160">
        <f>(MAX(B81:C81))</f>
        <v>0</v>
      </c>
      <c r="AF83" s="161">
        <f>(MAX(AH83,AG83))</f>
        <v>0</v>
      </c>
      <c r="AG83" s="162">
        <f>ROUND((SQRT((((MAX(E81,F81))^2)+(K81^2)))),0)</f>
        <v>0</v>
      </c>
      <c r="AH83" s="163">
        <f>ROUND((SQRT((((MAX(G81,H81))^2)+(K81^2)))),0)</f>
        <v>0</v>
      </c>
      <c r="AI83" s="119">
        <f>LOOKUP(AE83,informatieblad!$C$27:$C$32,informatieblad!$A$27:$A$32)</f>
        <v>0.5</v>
      </c>
      <c r="AJ83" s="118">
        <f>VLOOKUP(AI83,informatieblad!$A$27:$M$32,6,FALSE)</f>
        <v>0</v>
      </c>
      <c r="AK83" s="118">
        <f>VLOOKUP(AI83,informatieblad!$A$27:$M$32,8,FALSE)</f>
        <v>45.1248</v>
      </c>
      <c r="AL83" s="120">
        <f>VLOOKUP(AI83,informatieblad!$A$27:$M$32,13,FALSE)</f>
        <v>4</v>
      </c>
      <c r="AM83" s="121">
        <f>ROUND((AL83*X83),1)</f>
        <v>0</v>
      </c>
      <c r="AO83" s="111">
        <f>(IF(B82=AO81,((2*B81)+(2*C81)),IF(B82=AO82,((2*B81)+(2*C81)),0)))*C83</f>
        <v>0</v>
      </c>
      <c r="AP83" s="111">
        <f>(IF(B82=AP81,((2*B81)+(2*C81)),IF(B82=AP82,((2*B81)+(2*C81)),0)))*C83</f>
        <v>0</v>
      </c>
      <c r="AQ83" s="261">
        <f>(IF(B82=AQ81,((2*B81)+(2*C81)),IF(B82=AQ82,((2*B81)+(2*C81)),0)))*C83</f>
        <v>0</v>
      </c>
      <c r="AR83" s="283">
        <f>(IF(B82=AR81,((2*B81)+(2*C81)),0))*C83</f>
        <v>0</v>
      </c>
      <c r="AT83" s="268">
        <f>K81*C83</f>
        <v>0</v>
      </c>
      <c r="AV83" s="83" t="str">
        <f>'UC mounting materials '!$B$11</f>
        <v>Rail 41x41</v>
      </c>
      <c r="AW83" s="268">
        <f>IF(AE83&gt;999,(AE83+100),0)*C83</f>
        <v>0</v>
      </c>
      <c r="AY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AZ83" s="276">
        <f>IF(AY83=AZ81,(4*C83),0)</f>
        <v>0</v>
      </c>
      <c r="BA83" s="274">
        <f>IF(AY83=BA81,(4*C83),0)</f>
        <v>0</v>
      </c>
    </row>
    <row r="84" spans="1:53" ht="5.0999999999999996" customHeight="1" thickBot="1">
      <c r="A84" s="145"/>
      <c r="B84" s="122"/>
      <c r="C84" s="122"/>
      <c r="D84" s="122"/>
      <c r="E84" s="122"/>
      <c r="F84" s="122"/>
      <c r="G84" s="122"/>
      <c r="H84" s="122"/>
      <c r="I84" s="122"/>
      <c r="J84" s="122"/>
      <c r="K84" s="146"/>
    </row>
    <row r="85" spans="1:53" ht="15" thickBot="1">
      <c r="A85" s="445"/>
      <c r="B85" s="96"/>
      <c r="C85" s="96"/>
      <c r="D85" s="96"/>
      <c r="E85" s="96">
        <f>(B85-D85)/2</f>
        <v>0</v>
      </c>
      <c r="F85" s="167">
        <f>B85-D85-E85</f>
        <v>0</v>
      </c>
      <c r="G85" s="96">
        <f>(C85-D85)/2</f>
        <v>0</v>
      </c>
      <c r="H85" s="167">
        <f>C85-D85-G85</f>
        <v>0</v>
      </c>
      <c r="I85" s="300" t="str">
        <f>IF($B85&gt;0,$K$10,"")</f>
        <v/>
      </c>
      <c r="J85" s="300" t="str">
        <f>IF($B85&gt;0,$K$11,"")</f>
        <v/>
      </c>
      <c r="K85" s="178"/>
      <c r="L85" s="345" t="s">
        <v>20</v>
      </c>
      <c r="U85" s="97" t="s">
        <v>14</v>
      </c>
      <c r="V85" s="98" t="s">
        <v>27</v>
      </c>
      <c r="W85" s="98" t="s">
        <v>28</v>
      </c>
      <c r="X85" s="98" t="s">
        <v>27</v>
      </c>
      <c r="Y85" s="98" t="s">
        <v>28</v>
      </c>
      <c r="Z85" s="98" t="s">
        <v>29</v>
      </c>
      <c r="AA85" s="66" t="s">
        <v>30</v>
      </c>
      <c r="AB85" s="153" t="s">
        <v>31</v>
      </c>
      <c r="AC85" s="153"/>
      <c r="AD85" s="153"/>
      <c r="AE85" s="100" t="s">
        <v>83</v>
      </c>
      <c r="AF85" s="98" t="s">
        <v>84</v>
      </c>
      <c r="AG85" s="98" t="s">
        <v>89</v>
      </c>
      <c r="AH85" s="100" t="s">
        <v>90</v>
      </c>
      <c r="AI85" s="100" t="s">
        <v>34</v>
      </c>
      <c r="AJ85" s="98" t="s">
        <v>32</v>
      </c>
      <c r="AK85" s="98" t="s">
        <v>32</v>
      </c>
      <c r="AL85" s="98" t="s">
        <v>49</v>
      </c>
      <c r="AM85" s="101" t="s">
        <v>36</v>
      </c>
      <c r="AO85" s="97" t="str">
        <f>informatieblad!$A$6</f>
        <v>FL20</v>
      </c>
      <c r="AP85" s="97" t="str">
        <f>informatieblad!$A$7</f>
        <v>FL30</v>
      </c>
      <c r="AQ85" s="99" t="str">
        <f>informatieblad!$A$8</f>
        <v>FL40</v>
      </c>
      <c r="AR85" s="266" t="str">
        <f>informatieblad!$A$5</f>
        <v>none</v>
      </c>
      <c r="AS85" s="62"/>
      <c r="AT85" s="266" t="s">
        <v>17</v>
      </c>
      <c r="AW85" s="266" t="s">
        <v>37</v>
      </c>
      <c r="AY85" s="269" t="s">
        <v>38</v>
      </c>
      <c r="AZ85" s="272">
        <f>informatieblad!$B$3</f>
        <v>0</v>
      </c>
      <c r="BA85" s="264">
        <f>informatieblad!$B$4</f>
        <v>0</v>
      </c>
    </row>
    <row r="86" spans="1:53">
      <c r="A86" s="481"/>
      <c r="B86" s="482" t="str">
        <f>IF($C87&gt;0,IF(MAX(B85:C85)&lt;informatieblad!$Q$4,informatieblad!$P$3,IF(MAX(B85:C85)&gt;informatieblad!$R$4,informatieblad!$P$5,informatieblad!$P$4)),"")</f>
        <v/>
      </c>
      <c r="C86" s="483"/>
      <c r="D86" s="303" t="str">
        <f>A85&amp;"-"&amp;informatieblad!$B$15&amp;"-"&amp;B85&amp;"-"&amp;C85&amp;"-"&amp;D85&amp;"-"&amp;E85&amp;"-"&amp;F85&amp;"-"&amp;G85&amp;"-"&amp;H85&amp;"-"&amp;I85&amp;"-"&amp;J85&amp;"-"&amp;K85&amp;"-"&amp;B86&amp;"-"&amp;G87</f>
        <v>-RctRR----0-0-0-0-----Options None</v>
      </c>
      <c r="E86" s="174"/>
      <c r="F86" s="174"/>
      <c r="G86" s="174"/>
      <c r="H86" s="469" t="s">
        <v>82</v>
      </c>
      <c r="I86" s="470"/>
      <c r="J86" s="470"/>
      <c r="K86" s="191" t="str">
        <f>(IF($C87&gt;0,(IF(MAX((MAX(B85,C85)-D85)/2,(D85-MAX(B85,C85)))*1.732&gt;270,MAX((MAX(B85,C85)-D85)/2,(D206-MAX(B85,C85)))*1.732,270)+30),""))</f>
        <v/>
      </c>
      <c r="L86" s="83"/>
      <c r="U86" s="103">
        <f>A85</f>
        <v>0</v>
      </c>
      <c r="V86" s="104" t="s">
        <v>39</v>
      </c>
      <c r="W86" s="104" t="s">
        <v>39</v>
      </c>
      <c r="X86" s="104" t="s">
        <v>40</v>
      </c>
      <c r="Y86" s="104" t="s">
        <v>40</v>
      </c>
      <c r="Z86" s="104" t="s">
        <v>40</v>
      </c>
      <c r="AA86" s="105"/>
      <c r="AB86" s="155" t="s">
        <v>27</v>
      </c>
      <c r="AC86" s="155" t="s">
        <v>40</v>
      </c>
      <c r="AD86" s="155" t="s">
        <v>41</v>
      </c>
      <c r="AE86" s="104"/>
      <c r="AG86" s="136" t="s">
        <v>15</v>
      </c>
      <c r="AH86" s="136" t="s">
        <v>16</v>
      </c>
      <c r="AI86" s="107"/>
      <c r="AJ86" s="104" t="s">
        <v>40</v>
      </c>
      <c r="AK86" s="104" t="s">
        <v>41</v>
      </c>
      <c r="AL86" s="108"/>
      <c r="AM86" s="109"/>
      <c r="AO86" s="262" t="str">
        <f>informatieblad!$A$2</f>
        <v>FL20 loose</v>
      </c>
      <c r="AP86" s="262" t="str">
        <f>informatieblad!$A$3</f>
        <v>FL30 loose</v>
      </c>
      <c r="AQ86" s="263" t="str">
        <f>informatieblad!$A$4</f>
        <v>FL40 loose</v>
      </c>
      <c r="AR86" s="282"/>
      <c r="AT86" s="267"/>
      <c r="AV86" s="83" t="str">
        <f>'UC mounting materials '!$B$10</f>
        <v>Rail 30x15</v>
      </c>
      <c r="AW86" s="327">
        <f>IF(AE87&lt;1000,(AE87+100),0)*C87</f>
        <v>0</v>
      </c>
      <c r="AY86" s="265" t="s">
        <v>47</v>
      </c>
      <c r="AZ86" s="83" t="s">
        <v>23</v>
      </c>
      <c r="BA86" s="273" t="s">
        <v>23</v>
      </c>
    </row>
    <row r="87" spans="1:53" ht="15.75" thickBot="1">
      <c r="A87" s="476"/>
      <c r="B87" s="186" t="s">
        <v>23</v>
      </c>
      <c r="C87" s="110"/>
      <c r="D87" s="139"/>
      <c r="E87" s="94">
        <f>C87*W87</f>
        <v>0</v>
      </c>
      <c r="F87" s="141" t="s">
        <v>24</v>
      </c>
      <c r="G87" s="451" t="s">
        <v>25</v>
      </c>
      <c r="H87" s="484"/>
      <c r="I87" s="484"/>
      <c r="J87" s="484"/>
      <c r="K87" s="485"/>
      <c r="L87" s="176"/>
      <c r="U87" s="111"/>
      <c r="V87" s="112">
        <f>ROUND((((2*(B85+C85))*AF87)/1000000),2)</f>
        <v>0</v>
      </c>
      <c r="W87" s="158">
        <f>((IF(V87&lt;=informatieblad!$I$15,informatieblad!$I$15,IF(V87&gt;=informatieblad!$I$15,V87))))</f>
        <v>1</v>
      </c>
      <c r="X87" s="112">
        <f>ROUND((((2*(B85+C85))*AF87)/1000000),2)</f>
        <v>0</v>
      </c>
      <c r="Y87" s="112">
        <f>((IF(X87&lt;=informatieblad!$H$15,informatieblad!$H$15,IF(X87&gt;=informatieblad!$H$15,X87))))</f>
        <v>0</v>
      </c>
      <c r="Z87" s="113">
        <f>((Y87*AJ87)+(Y87*AC87))*C87</f>
        <v>0</v>
      </c>
      <c r="AA87" s="114">
        <f>((W87*AK87)+(W87*AD87))*C87</f>
        <v>0</v>
      </c>
      <c r="AB87" s="115" t="str">
        <f>G87</f>
        <v>Options None</v>
      </c>
      <c r="AC87" s="115">
        <f>VLOOKUP(G87,informatieblad!$A$37:$D$41,2,FALSE)</f>
        <v>0</v>
      </c>
      <c r="AD87" s="115">
        <f>VLOOKUP(G87,informatieblad!$A$37:$D$41,4,FALSE)</f>
        <v>0</v>
      </c>
      <c r="AE87" s="160">
        <f>(MAX(B85:C85))</f>
        <v>0</v>
      </c>
      <c r="AF87" s="161">
        <f>(MAX(AH87,AG87))</f>
        <v>0</v>
      </c>
      <c r="AG87" s="162">
        <f>ROUND((SQRT((((MAX(E85,F85))^2)+(K85^2)))),0)</f>
        <v>0</v>
      </c>
      <c r="AH87" s="163">
        <f>ROUND((SQRT((((MAX(G85,H85))^2)+(K85^2)))),0)</f>
        <v>0</v>
      </c>
      <c r="AI87" s="119">
        <f>LOOKUP(AE87,informatieblad!$C$27:$C$32,informatieblad!$A$27:$A$32)</f>
        <v>0.5</v>
      </c>
      <c r="AJ87" s="118">
        <f>VLOOKUP(AI87,informatieblad!$A$27:$M$32,6,FALSE)</f>
        <v>0</v>
      </c>
      <c r="AK87" s="118">
        <f>VLOOKUP(AI87,informatieblad!$A$27:$M$32,8,FALSE)</f>
        <v>45.1248</v>
      </c>
      <c r="AL87" s="120">
        <f>VLOOKUP(AI87,informatieblad!$A$27:$M$32,13,FALSE)</f>
        <v>4</v>
      </c>
      <c r="AM87" s="121">
        <f>ROUND((AL87*X87),1)</f>
        <v>0</v>
      </c>
      <c r="AO87" s="111">
        <f>(IF(B86=AO85,((2*B85)+(2*C85)),IF(B86=AO86,((2*B85)+(2*C85)),0)))*C87</f>
        <v>0</v>
      </c>
      <c r="AP87" s="111">
        <f>(IF(B86=AP85,((2*B85)+(2*C85)),IF(B86=AP86,((2*B85)+(2*C85)),0)))*C87</f>
        <v>0</v>
      </c>
      <c r="AQ87" s="261">
        <f>(IF(B86=AQ85,((2*B85)+(2*C85)),IF(B86=AQ86,((2*B85)+(2*C85)),0)))*C87</f>
        <v>0</v>
      </c>
      <c r="AR87" s="283">
        <f>(IF(B86=AR85,((2*B85)+(2*C85)),0))*C87</f>
        <v>0</v>
      </c>
      <c r="AS87" s="72"/>
      <c r="AT87" s="268">
        <f>K85*C87</f>
        <v>0</v>
      </c>
      <c r="AV87" s="83" t="str">
        <f>'UC mounting materials '!$B$11</f>
        <v>Rail 41x41</v>
      </c>
      <c r="AW87" s="268">
        <f>IF(AE87&gt;999,(AE87+100),0)*C87</f>
        <v>0</v>
      </c>
      <c r="AY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AZ87" s="276">
        <f>IF(AY87=AZ85,(4*C87),0)</f>
        <v>0</v>
      </c>
      <c r="BA87" s="274">
        <f>IF(AY87=BA85,(4*C87),0)</f>
        <v>0</v>
      </c>
    </row>
    <row r="88" spans="1:53" ht="5.0999999999999996" customHeight="1" thickBot="1">
      <c r="A88" s="145"/>
      <c r="B88" s="122"/>
      <c r="C88" s="122"/>
      <c r="D88" s="122"/>
      <c r="E88" s="122"/>
      <c r="F88" s="122"/>
      <c r="G88" s="122"/>
      <c r="H88" s="122"/>
      <c r="I88" s="122"/>
      <c r="J88" s="122"/>
      <c r="K88" s="146"/>
    </row>
    <row r="89" spans="1:53" ht="15" thickBot="1">
      <c r="A89" s="445"/>
      <c r="B89" s="96"/>
      <c r="C89" s="96"/>
      <c r="D89" s="96"/>
      <c r="E89" s="96">
        <f>(B89-D89)/2</f>
        <v>0</v>
      </c>
      <c r="F89" s="167">
        <f>B89-D89-E89</f>
        <v>0</v>
      </c>
      <c r="G89" s="96">
        <f>(C89-D89)/2</f>
        <v>0</v>
      </c>
      <c r="H89" s="167">
        <f>C89-D89-G89</f>
        <v>0</v>
      </c>
      <c r="I89" s="300" t="str">
        <f>IF($B89&gt;0,$K$10,"")</f>
        <v/>
      </c>
      <c r="J89" s="300" t="str">
        <f>IF($B89&gt;0,$K$11,"")</f>
        <v/>
      </c>
      <c r="K89" s="178"/>
      <c r="L89" s="345" t="s">
        <v>20</v>
      </c>
      <c r="U89" s="97" t="s">
        <v>14</v>
      </c>
      <c r="V89" s="98" t="s">
        <v>27</v>
      </c>
      <c r="W89" s="98" t="s">
        <v>28</v>
      </c>
      <c r="X89" s="98" t="s">
        <v>27</v>
      </c>
      <c r="Y89" s="98" t="s">
        <v>28</v>
      </c>
      <c r="Z89" s="98" t="s">
        <v>29</v>
      </c>
      <c r="AA89" s="66" t="s">
        <v>30</v>
      </c>
      <c r="AB89" s="153" t="s">
        <v>31</v>
      </c>
      <c r="AC89" s="153"/>
      <c r="AD89" s="153"/>
      <c r="AE89" s="100" t="s">
        <v>83</v>
      </c>
      <c r="AF89" s="98" t="s">
        <v>84</v>
      </c>
      <c r="AG89" s="98" t="s">
        <v>89</v>
      </c>
      <c r="AH89" s="100" t="s">
        <v>90</v>
      </c>
      <c r="AI89" s="100" t="s">
        <v>34</v>
      </c>
      <c r="AJ89" s="98" t="s">
        <v>32</v>
      </c>
      <c r="AK89" s="98" t="s">
        <v>32</v>
      </c>
      <c r="AL89" s="98" t="s">
        <v>49</v>
      </c>
      <c r="AM89" s="101" t="s">
        <v>36</v>
      </c>
      <c r="AO89" s="97" t="str">
        <f>informatieblad!$A$6</f>
        <v>FL20</v>
      </c>
      <c r="AP89" s="97" t="str">
        <f>informatieblad!$A$7</f>
        <v>FL30</v>
      </c>
      <c r="AQ89" s="99" t="str">
        <f>informatieblad!$A$8</f>
        <v>FL40</v>
      </c>
      <c r="AR89" s="266" t="str">
        <f>informatieblad!$A$5</f>
        <v>none</v>
      </c>
      <c r="AT89" s="266" t="s">
        <v>17</v>
      </c>
      <c r="AW89" s="266" t="s">
        <v>37</v>
      </c>
      <c r="AY89" s="269" t="s">
        <v>38</v>
      </c>
      <c r="AZ89" s="272">
        <f>informatieblad!$B$3</f>
        <v>0</v>
      </c>
      <c r="BA89" s="264">
        <f>informatieblad!$B$4</f>
        <v>0</v>
      </c>
    </row>
    <row r="90" spans="1:53">
      <c r="A90" s="481"/>
      <c r="B90" s="482" t="str">
        <f>IF($C91&gt;0,IF(MAX(B89:C89)&lt;informatieblad!$Q$4,informatieblad!$P$3,IF(MAX(B89:C89)&gt;informatieblad!$R$4,informatieblad!$P$5,informatieblad!$P$4)),"")</f>
        <v/>
      </c>
      <c r="C90" s="483"/>
      <c r="D90" s="190" t="str">
        <f>A89&amp;"-"&amp;informatieblad!$B$15&amp;"-"&amp;B89&amp;"-"&amp;C89&amp;"-"&amp;D89&amp;"-"&amp;E89&amp;"-"&amp;F89&amp;"-"&amp;G89&amp;"-"&amp;H89&amp;"-"&amp;I89&amp;"-"&amp;J89&amp;"-"&amp;K89&amp;"-"&amp;B90&amp;"-"&amp;G91</f>
        <v>-RctRR----0-0-0-0-----Options None</v>
      </c>
      <c r="E90" s="174"/>
      <c r="F90" s="174"/>
      <c r="G90" s="174"/>
      <c r="H90" s="469" t="s">
        <v>82</v>
      </c>
      <c r="I90" s="470"/>
      <c r="J90" s="470"/>
      <c r="K90" s="191" t="str">
        <f>(IF($C91&gt;0,(IF(MAX((MAX(B89,C89)-D89)/2,(D89-MAX(B89,C89)))*1.732&gt;270,MAX((MAX(B89,C89)-D89)/2,(D210-MAX(B89,C89)))*1.732,270)+30),""))</f>
        <v/>
      </c>
      <c r="L90" s="83"/>
      <c r="U90" s="103">
        <f>A89</f>
        <v>0</v>
      </c>
      <c r="V90" s="104" t="s">
        <v>39</v>
      </c>
      <c r="W90" s="104" t="s">
        <v>39</v>
      </c>
      <c r="X90" s="104" t="s">
        <v>40</v>
      </c>
      <c r="Y90" s="104" t="s">
        <v>40</v>
      </c>
      <c r="Z90" s="104" t="s">
        <v>40</v>
      </c>
      <c r="AA90" s="105"/>
      <c r="AB90" s="155" t="s">
        <v>27</v>
      </c>
      <c r="AC90" s="155" t="s">
        <v>40</v>
      </c>
      <c r="AD90" s="155" t="s">
        <v>41</v>
      </c>
      <c r="AE90" s="104"/>
      <c r="AG90" s="136" t="s">
        <v>15</v>
      </c>
      <c r="AH90" s="136" t="s">
        <v>16</v>
      </c>
      <c r="AI90" s="107"/>
      <c r="AJ90" s="104" t="s">
        <v>40</v>
      </c>
      <c r="AK90" s="104" t="s">
        <v>41</v>
      </c>
      <c r="AL90" s="108"/>
      <c r="AM90" s="109"/>
      <c r="AO90" s="262" t="str">
        <f>informatieblad!$A$2</f>
        <v>FL20 loose</v>
      </c>
      <c r="AP90" s="262" t="str">
        <f>informatieblad!$A$3</f>
        <v>FL30 loose</v>
      </c>
      <c r="AQ90" s="263" t="str">
        <f>informatieblad!$A$4</f>
        <v>FL40 loose</v>
      </c>
      <c r="AR90" s="282"/>
      <c r="AT90" s="267"/>
      <c r="AV90" s="83" t="str">
        <f>'UC mounting materials '!$B$10</f>
        <v>Rail 30x15</v>
      </c>
      <c r="AW90" s="327">
        <f>IF(AE91&lt;1000,(AE91+100),0)*C91</f>
        <v>0</v>
      </c>
      <c r="AY90" s="265" t="s">
        <v>47</v>
      </c>
      <c r="AZ90" s="83" t="s">
        <v>23</v>
      </c>
      <c r="BA90" s="273" t="s">
        <v>23</v>
      </c>
    </row>
    <row r="91" spans="1:53" ht="15.75" thickBot="1">
      <c r="A91" s="476"/>
      <c r="B91" s="186" t="s">
        <v>23</v>
      </c>
      <c r="C91" s="110"/>
      <c r="D91" s="139"/>
      <c r="E91" s="94">
        <f>C91*W91</f>
        <v>0</v>
      </c>
      <c r="F91" s="141" t="s">
        <v>24</v>
      </c>
      <c r="G91" s="451" t="s">
        <v>25</v>
      </c>
      <c r="H91" s="484"/>
      <c r="I91" s="484"/>
      <c r="J91" s="484"/>
      <c r="K91" s="485"/>
      <c r="L91" s="176"/>
      <c r="U91" s="111"/>
      <c r="V91" s="112">
        <f>ROUND((((2*(B89+C89))*AF91)/1000000),2)</f>
        <v>0</v>
      </c>
      <c r="W91" s="158">
        <f>((IF(V91&lt;=informatieblad!$I$15,informatieblad!$I$15,IF(V91&gt;=informatieblad!$I$15,V91))))</f>
        <v>1</v>
      </c>
      <c r="X91" s="112">
        <f>ROUND((((2*(B89+C89))*AF91)/1000000),2)</f>
        <v>0</v>
      </c>
      <c r="Y91" s="112">
        <f>((IF(X91&lt;=informatieblad!$H$15,informatieblad!$H$15,IF(X91&gt;=informatieblad!$H$15,X91))))</f>
        <v>0</v>
      </c>
      <c r="Z91" s="113">
        <f>((Y91*AJ91)+(Y91*AC91))*C91</f>
        <v>0</v>
      </c>
      <c r="AA91" s="114">
        <f>((W91*AK91)+(W91*AD91))*C91</f>
        <v>0</v>
      </c>
      <c r="AB91" s="115" t="str">
        <f>G91</f>
        <v>Options None</v>
      </c>
      <c r="AC91" s="115">
        <f>VLOOKUP(G91,informatieblad!$A$37:$D$41,2,FALSE)</f>
        <v>0</v>
      </c>
      <c r="AD91" s="115">
        <f>VLOOKUP(G91,informatieblad!$A$37:$D$41,4,FALSE)</f>
        <v>0</v>
      </c>
      <c r="AE91" s="160">
        <f>(MAX(B89:C89))</f>
        <v>0</v>
      </c>
      <c r="AF91" s="161">
        <f>(MAX(AH91,AG91))</f>
        <v>0</v>
      </c>
      <c r="AG91" s="162">
        <f>ROUND((SQRT((((MAX(E89,F89))^2)+(K89^2)))),0)</f>
        <v>0</v>
      </c>
      <c r="AH91" s="163">
        <f>ROUND((SQRT((((MAX(G89,H89))^2)+(K89^2)))),0)</f>
        <v>0</v>
      </c>
      <c r="AI91" s="119">
        <f>LOOKUP(AE91,informatieblad!$C$27:$C$32,informatieblad!$A$27:$A$32)</f>
        <v>0.5</v>
      </c>
      <c r="AJ91" s="118">
        <f>VLOOKUP(AI91,informatieblad!$A$27:$M$32,6,FALSE)</f>
        <v>0</v>
      </c>
      <c r="AK91" s="118">
        <f>VLOOKUP(AI91,informatieblad!$A$27:$M$32,8,FALSE)</f>
        <v>45.1248</v>
      </c>
      <c r="AL91" s="120">
        <f>VLOOKUP(AI91,informatieblad!$A$27:$M$32,13,FALSE)</f>
        <v>4</v>
      </c>
      <c r="AM91" s="121">
        <f>ROUND((AL91*X91),1)</f>
        <v>0</v>
      </c>
      <c r="AO91" s="111">
        <f>(IF(B90=AO89,((2*B89)+(2*C89)),IF(B90=AO90,((2*B89)+(2*C89)),0)))*C91</f>
        <v>0</v>
      </c>
      <c r="AP91" s="111">
        <f>(IF(B90=AP89,((2*B89)+(2*C89)),IF(B90=AP90,((2*B89)+(2*C89)),0)))*C91</f>
        <v>0</v>
      </c>
      <c r="AQ91" s="261">
        <f>(IF(B90=AQ89,((2*B89)+(2*C89)),IF(B90=AQ90,((2*B89)+(2*C89)),0)))*C91</f>
        <v>0</v>
      </c>
      <c r="AR91" s="283">
        <f>(IF(B90=AR89,((2*B89)+(2*C89)),0))*C91</f>
        <v>0</v>
      </c>
      <c r="AT91" s="268">
        <f>K89*C91</f>
        <v>0</v>
      </c>
      <c r="AV91" s="83" t="str">
        <f>'UC mounting materials '!$B$11</f>
        <v>Rail 41x41</v>
      </c>
      <c r="AW91" s="268">
        <f>IF(AE91&gt;999,(AE91+100),0)*C91</f>
        <v>0</v>
      </c>
      <c r="AY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AZ91" s="276">
        <f>IF(AY91=AZ89,(4*C91),0)</f>
        <v>0</v>
      </c>
      <c r="BA91" s="274">
        <f>IF(AY91=BA89,(4*C91),0)</f>
        <v>0</v>
      </c>
    </row>
    <row r="92" spans="1:53" ht="5.0999999999999996" customHeight="1" thickBot="1">
      <c r="A92" s="145"/>
      <c r="B92" s="122"/>
      <c r="C92" s="122"/>
      <c r="D92" s="122"/>
      <c r="E92" s="122"/>
      <c r="F92" s="122"/>
      <c r="G92" s="122"/>
      <c r="H92" s="122"/>
      <c r="I92" s="122"/>
      <c r="J92" s="122"/>
      <c r="K92" s="146"/>
    </row>
    <row r="93" spans="1:53" ht="15" thickBot="1">
      <c r="A93" s="445"/>
      <c r="B93" s="96"/>
      <c r="C93" s="96"/>
      <c r="D93" s="96"/>
      <c r="E93" s="96">
        <f>(B93-D93)/2</f>
        <v>0</v>
      </c>
      <c r="F93" s="167">
        <f>B93-D93-E93</f>
        <v>0</v>
      </c>
      <c r="G93" s="96">
        <f>(C93-D93)/2</f>
        <v>0</v>
      </c>
      <c r="H93" s="167">
        <f>C93-D93-G93</f>
        <v>0</v>
      </c>
      <c r="I93" s="300" t="str">
        <f>IF($B93&gt;0,$K$10,"")</f>
        <v/>
      </c>
      <c r="J93" s="300" t="str">
        <f>IF($B93&gt;0,$K$11,"")</f>
        <v/>
      </c>
      <c r="K93" s="178"/>
      <c r="L93" s="345" t="s">
        <v>20</v>
      </c>
      <c r="U93" s="97" t="s">
        <v>14</v>
      </c>
      <c r="V93" s="98" t="s">
        <v>27</v>
      </c>
      <c r="W93" s="98" t="s">
        <v>28</v>
      </c>
      <c r="X93" s="98" t="s">
        <v>27</v>
      </c>
      <c r="Y93" s="98" t="s">
        <v>28</v>
      </c>
      <c r="Z93" s="98" t="s">
        <v>29</v>
      </c>
      <c r="AA93" s="66" t="s">
        <v>30</v>
      </c>
      <c r="AB93" s="153" t="s">
        <v>31</v>
      </c>
      <c r="AC93" s="153"/>
      <c r="AD93" s="153"/>
      <c r="AE93" s="100" t="s">
        <v>83</v>
      </c>
      <c r="AF93" s="98" t="s">
        <v>84</v>
      </c>
      <c r="AG93" s="98" t="s">
        <v>89</v>
      </c>
      <c r="AH93" s="100" t="s">
        <v>90</v>
      </c>
      <c r="AI93" s="100" t="s">
        <v>34</v>
      </c>
      <c r="AJ93" s="98" t="s">
        <v>32</v>
      </c>
      <c r="AK93" s="98" t="s">
        <v>32</v>
      </c>
      <c r="AL93" s="98" t="s">
        <v>49</v>
      </c>
      <c r="AM93" s="101" t="s">
        <v>36</v>
      </c>
      <c r="AO93" s="97" t="str">
        <f>informatieblad!$A$6</f>
        <v>FL20</v>
      </c>
      <c r="AP93" s="97" t="str">
        <f>informatieblad!$A$7</f>
        <v>FL30</v>
      </c>
      <c r="AQ93" s="99" t="str">
        <f>informatieblad!$A$8</f>
        <v>FL40</v>
      </c>
      <c r="AR93" s="266" t="str">
        <f>informatieblad!$A$5</f>
        <v>none</v>
      </c>
      <c r="AT93" s="266" t="s">
        <v>17</v>
      </c>
      <c r="AW93" s="266" t="s">
        <v>37</v>
      </c>
      <c r="AY93" s="269" t="s">
        <v>38</v>
      </c>
      <c r="AZ93" s="272">
        <f>informatieblad!$B$3</f>
        <v>0</v>
      </c>
      <c r="BA93" s="264">
        <f>informatieblad!$B$4</f>
        <v>0</v>
      </c>
    </row>
    <row r="94" spans="1:53">
      <c r="A94" s="481"/>
      <c r="B94" s="482" t="str">
        <f>IF($C95&gt;0,IF(MAX(B93:C93)&lt;informatieblad!$Q$4,informatieblad!$P$3,IF(MAX(B93:C93)&gt;informatieblad!$R$4,informatieblad!$P$5,informatieblad!$P$4)),"")</f>
        <v/>
      </c>
      <c r="C94" s="483"/>
      <c r="D94" s="303" t="str">
        <f>A93&amp;"-"&amp;informatieblad!$B$15&amp;"-"&amp;B93&amp;"-"&amp;C93&amp;"-"&amp;D93&amp;"-"&amp;E93&amp;"-"&amp;F93&amp;"-"&amp;G93&amp;"-"&amp;H93&amp;"-"&amp;I93&amp;"-"&amp;J93&amp;"-"&amp;K93&amp;"-"&amp;B94&amp;"-"&amp;G95</f>
        <v>-RctRR----0-0-0-0-----Options None</v>
      </c>
      <c r="E94" s="174"/>
      <c r="F94" s="174"/>
      <c r="G94" s="174"/>
      <c r="H94" s="469" t="s">
        <v>82</v>
      </c>
      <c r="I94" s="470"/>
      <c r="J94" s="470"/>
      <c r="K94" s="191" t="str">
        <f>(IF($C95&gt;0,(IF(MAX((MAX(B93,C93)-D93)/2,(D93-MAX(B93,C93)))*1.732&gt;270,MAX((MAX(B93,C93)-D93)/2,(D214-MAX(B93,C93)))*1.732,270)+30),""))</f>
        <v/>
      </c>
      <c r="L94" s="83"/>
      <c r="U94" s="103">
        <f>A93</f>
        <v>0</v>
      </c>
      <c r="V94" s="104" t="s">
        <v>39</v>
      </c>
      <c r="W94" s="104" t="s">
        <v>39</v>
      </c>
      <c r="X94" s="104" t="s">
        <v>40</v>
      </c>
      <c r="Y94" s="104" t="s">
        <v>40</v>
      </c>
      <c r="Z94" s="104" t="s">
        <v>40</v>
      </c>
      <c r="AA94" s="105"/>
      <c r="AB94" s="155" t="s">
        <v>27</v>
      </c>
      <c r="AC94" s="155" t="s">
        <v>40</v>
      </c>
      <c r="AD94" s="155" t="s">
        <v>41</v>
      </c>
      <c r="AE94" s="104"/>
      <c r="AG94" s="136" t="s">
        <v>15</v>
      </c>
      <c r="AH94" s="136" t="s">
        <v>16</v>
      </c>
      <c r="AI94" s="107"/>
      <c r="AJ94" s="104" t="s">
        <v>40</v>
      </c>
      <c r="AK94" s="104" t="s">
        <v>41</v>
      </c>
      <c r="AL94" s="108"/>
      <c r="AM94" s="109"/>
      <c r="AO94" s="262" t="str">
        <f>informatieblad!$A$2</f>
        <v>FL20 loose</v>
      </c>
      <c r="AP94" s="262" t="str">
        <f>informatieblad!$A$3</f>
        <v>FL30 loose</v>
      </c>
      <c r="AQ94" s="263" t="str">
        <f>informatieblad!$A$4</f>
        <v>FL40 loose</v>
      </c>
      <c r="AR94" s="282"/>
      <c r="AT94" s="267"/>
      <c r="AV94" s="83" t="str">
        <f>'UC mounting materials '!$B$10</f>
        <v>Rail 30x15</v>
      </c>
      <c r="AW94" s="327">
        <f>IF(AE95&lt;1000,(AE95+100),0)*C95</f>
        <v>0</v>
      </c>
      <c r="AY94" s="265" t="s">
        <v>47</v>
      </c>
      <c r="AZ94" s="83" t="s">
        <v>23</v>
      </c>
      <c r="BA94" s="273" t="s">
        <v>23</v>
      </c>
    </row>
    <row r="95" spans="1:53" ht="15.75" thickBot="1">
      <c r="A95" s="476"/>
      <c r="B95" s="186" t="s">
        <v>23</v>
      </c>
      <c r="C95" s="110"/>
      <c r="D95" s="139"/>
      <c r="E95" s="94">
        <f>C95*W95</f>
        <v>0</v>
      </c>
      <c r="F95" s="141" t="s">
        <v>24</v>
      </c>
      <c r="G95" s="451" t="s">
        <v>25</v>
      </c>
      <c r="H95" s="484"/>
      <c r="I95" s="484"/>
      <c r="J95" s="484"/>
      <c r="K95" s="485"/>
      <c r="L95" s="176"/>
      <c r="U95" s="111"/>
      <c r="V95" s="112">
        <f>ROUND((((2*(B93+C93))*AF95)/1000000),2)</f>
        <v>0</v>
      </c>
      <c r="W95" s="158">
        <f>((IF(V95&lt;=informatieblad!$I$15,informatieblad!$I$15,IF(V95&gt;=informatieblad!$I$15,V95))))</f>
        <v>1</v>
      </c>
      <c r="X95" s="112">
        <f>ROUND((((2*(B93+C93))*AF95)/1000000),2)</f>
        <v>0</v>
      </c>
      <c r="Y95" s="112">
        <f>((IF(X95&lt;=informatieblad!$H$15,informatieblad!$H$15,IF(X95&gt;=informatieblad!$H$15,X95))))</f>
        <v>0</v>
      </c>
      <c r="Z95" s="113">
        <f>((Y95*AJ95)+(Y95*AC95))*C95</f>
        <v>0</v>
      </c>
      <c r="AA95" s="114">
        <f>((W95*AK95)+(W95*AD95))*C95</f>
        <v>0</v>
      </c>
      <c r="AB95" s="115" t="str">
        <f>G95</f>
        <v>Options None</v>
      </c>
      <c r="AC95" s="115">
        <f>VLOOKUP(G95,informatieblad!$A$37:$D$41,2,FALSE)</f>
        <v>0</v>
      </c>
      <c r="AD95" s="115">
        <f>VLOOKUP(G95,informatieblad!$A$37:$D$41,4,FALSE)</f>
        <v>0</v>
      </c>
      <c r="AE95" s="160">
        <f>(MAX(B93:C93))</f>
        <v>0</v>
      </c>
      <c r="AF95" s="161">
        <f>(MAX(AH95,AG95))</f>
        <v>0</v>
      </c>
      <c r="AG95" s="162">
        <f>ROUND((SQRT((((MAX(E93,F93))^2)+(K93^2)))),0)</f>
        <v>0</v>
      </c>
      <c r="AH95" s="163">
        <f>ROUND((SQRT((((MAX(G93,H93))^2)+(K93^2)))),0)</f>
        <v>0</v>
      </c>
      <c r="AI95" s="119">
        <f>LOOKUP(AE95,informatieblad!$C$27:$C$32,informatieblad!$A$27:$A$32)</f>
        <v>0.5</v>
      </c>
      <c r="AJ95" s="118">
        <f>VLOOKUP(AI95,informatieblad!$A$27:$M$32,6,FALSE)</f>
        <v>0</v>
      </c>
      <c r="AK95" s="118">
        <f>VLOOKUP(AI95,informatieblad!$A$27:$M$32,8,FALSE)</f>
        <v>45.1248</v>
      </c>
      <c r="AL95" s="120">
        <f>VLOOKUP(AI95,informatieblad!$A$27:$M$32,13,FALSE)</f>
        <v>4</v>
      </c>
      <c r="AM95" s="121">
        <f>ROUND((AL95*X95),1)</f>
        <v>0</v>
      </c>
      <c r="AO95" s="111">
        <f>(IF(B94=AO93,((2*B93)+(2*C93)),IF(B94=AO94,((2*B93)+(2*C93)),0)))*C95</f>
        <v>0</v>
      </c>
      <c r="AP95" s="111">
        <f>(IF(B94=AP93,((2*B93)+(2*C93)),IF(B94=AP94,((2*B93)+(2*C93)),0)))*C95</f>
        <v>0</v>
      </c>
      <c r="AQ95" s="261">
        <f>(IF(B94=AQ93,((2*B93)+(2*C93)),IF(B94=AQ94,((2*B93)+(2*C93)),0)))*C95</f>
        <v>0</v>
      </c>
      <c r="AR95" s="283">
        <f>(IF(B94=AR93,((2*B93)+(2*C93)),0))*C95</f>
        <v>0</v>
      </c>
      <c r="AT95" s="268">
        <f>K93*C95</f>
        <v>0</v>
      </c>
      <c r="AV95" s="83" t="str">
        <f>'UC mounting materials '!$B$11</f>
        <v>Rail 41x41</v>
      </c>
      <c r="AW95" s="268">
        <f>IF(AE95&gt;999,(AE95+100),0)*C95</f>
        <v>0</v>
      </c>
      <c r="AY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AZ95" s="276">
        <f>IF(AY95=AZ93,(4*C95),0)</f>
        <v>0</v>
      </c>
      <c r="BA95" s="274">
        <f>IF(AY95=BA93,(4*C95),0)</f>
        <v>0</v>
      </c>
    </row>
    <row r="96" spans="1:53" ht="5.0999999999999996" customHeight="1" thickBot="1">
      <c r="A96" s="145"/>
      <c r="B96" s="122"/>
      <c r="C96" s="122"/>
      <c r="D96" s="122"/>
      <c r="E96" s="122"/>
      <c r="F96" s="122"/>
      <c r="G96" s="122"/>
      <c r="H96" s="122"/>
      <c r="I96" s="122"/>
      <c r="J96" s="122"/>
      <c r="K96" s="146"/>
    </row>
    <row r="97" spans="1:53" ht="14.25" customHeight="1" thickBot="1">
      <c r="A97" s="445"/>
      <c r="B97" s="96"/>
      <c r="C97" s="96"/>
      <c r="D97" s="96"/>
      <c r="E97" s="96">
        <f>(B97-D97)/2</f>
        <v>0</v>
      </c>
      <c r="F97" s="167">
        <f>B97-D97-E97</f>
        <v>0</v>
      </c>
      <c r="G97" s="96">
        <f>(C97-D97)/2</f>
        <v>0</v>
      </c>
      <c r="H97" s="167">
        <f>C97-D97-G97</f>
        <v>0</v>
      </c>
      <c r="I97" s="300" t="str">
        <f>IF($B97&gt;0,$K$10,"")</f>
        <v/>
      </c>
      <c r="J97" s="300" t="str">
        <f>IF($B97&gt;0,$K$11,"")</f>
        <v/>
      </c>
      <c r="K97" s="178"/>
      <c r="L97" s="345" t="s">
        <v>20</v>
      </c>
      <c r="U97" s="97" t="s">
        <v>14</v>
      </c>
      <c r="V97" s="98" t="s">
        <v>27</v>
      </c>
      <c r="W97" s="98" t="s">
        <v>28</v>
      </c>
      <c r="X97" s="98" t="s">
        <v>27</v>
      </c>
      <c r="Y97" s="98" t="s">
        <v>28</v>
      </c>
      <c r="Z97" s="98" t="s">
        <v>29</v>
      </c>
      <c r="AA97" s="66" t="s">
        <v>30</v>
      </c>
      <c r="AB97" s="153" t="s">
        <v>31</v>
      </c>
      <c r="AC97" s="153"/>
      <c r="AD97" s="153"/>
      <c r="AE97" s="100" t="s">
        <v>83</v>
      </c>
      <c r="AF97" s="98" t="s">
        <v>84</v>
      </c>
      <c r="AG97" s="98" t="s">
        <v>89</v>
      </c>
      <c r="AH97" s="100" t="s">
        <v>90</v>
      </c>
      <c r="AI97" s="100" t="s">
        <v>34</v>
      </c>
      <c r="AJ97" s="98" t="s">
        <v>32</v>
      </c>
      <c r="AK97" s="98" t="s">
        <v>32</v>
      </c>
      <c r="AL97" s="98" t="s">
        <v>49</v>
      </c>
      <c r="AM97" s="101" t="s">
        <v>36</v>
      </c>
      <c r="AO97" s="97" t="str">
        <f>informatieblad!$A$6</f>
        <v>FL20</v>
      </c>
      <c r="AP97" s="97" t="str">
        <f>informatieblad!$A$7</f>
        <v>FL30</v>
      </c>
      <c r="AQ97" s="99" t="str">
        <f>informatieblad!$A$8</f>
        <v>FL40</v>
      </c>
      <c r="AR97" s="266" t="str">
        <f>informatieblad!$A$5</f>
        <v>none</v>
      </c>
      <c r="AT97" s="266" t="s">
        <v>17</v>
      </c>
      <c r="AW97" s="266" t="s">
        <v>37</v>
      </c>
      <c r="AY97" s="269" t="s">
        <v>38</v>
      </c>
      <c r="AZ97" s="272">
        <f>informatieblad!$B$3</f>
        <v>0</v>
      </c>
      <c r="BA97" s="264">
        <f>informatieblad!$B$4</f>
        <v>0</v>
      </c>
    </row>
    <row r="98" spans="1:53" ht="15" customHeight="1">
      <c r="A98" s="481"/>
      <c r="B98" s="482" t="str">
        <f>IF($C99&gt;0,IF(MAX(B97:C97)&lt;informatieblad!$Q$4,informatieblad!$P$3,IF(MAX(B97:C97)&gt;informatieblad!$R$4,informatieblad!$P$5,informatieblad!$P$4)),"")</f>
        <v/>
      </c>
      <c r="C98" s="483"/>
      <c r="D98" s="303" t="str">
        <f>A97&amp;"-"&amp;informatieblad!$B$15&amp;"-"&amp;B97&amp;"-"&amp;C97&amp;"-"&amp;D97&amp;"-"&amp;E97&amp;"-"&amp;F97&amp;"-"&amp;G97&amp;"-"&amp;H97&amp;"-"&amp;I97&amp;"-"&amp;J97&amp;"-"&amp;K97&amp;"-"&amp;B98&amp;"-"&amp;G99</f>
        <v>-RctRR----0-0-0-0-----Options None</v>
      </c>
      <c r="E98" s="174"/>
      <c r="F98" s="174"/>
      <c r="G98" s="174"/>
      <c r="H98" s="469" t="s">
        <v>82</v>
      </c>
      <c r="I98" s="470"/>
      <c r="J98" s="470"/>
      <c r="K98" s="191" t="str">
        <f>(IF($C99&gt;0,(IF(MAX((MAX(B97,C97)-D97)/2,(D97-MAX(B97,C97)))*1.732&gt;270,MAX((MAX(B97,C97)-D97)/2,(D218-MAX(B97,C97)))*1.732,270)+30),""))</f>
        <v/>
      </c>
      <c r="L98" s="83"/>
      <c r="U98" s="103">
        <f>A97</f>
        <v>0</v>
      </c>
      <c r="V98" s="104" t="s">
        <v>39</v>
      </c>
      <c r="W98" s="104" t="s">
        <v>39</v>
      </c>
      <c r="X98" s="104" t="s">
        <v>40</v>
      </c>
      <c r="Y98" s="104" t="s">
        <v>40</v>
      </c>
      <c r="Z98" s="104" t="s">
        <v>40</v>
      </c>
      <c r="AA98" s="105"/>
      <c r="AB98" s="155" t="s">
        <v>27</v>
      </c>
      <c r="AC98" s="155" t="s">
        <v>40</v>
      </c>
      <c r="AD98" s="155" t="s">
        <v>41</v>
      </c>
      <c r="AE98" s="104"/>
      <c r="AG98" s="136" t="s">
        <v>15</v>
      </c>
      <c r="AH98" s="136" t="s">
        <v>16</v>
      </c>
      <c r="AI98" s="107"/>
      <c r="AJ98" s="104" t="s">
        <v>40</v>
      </c>
      <c r="AK98" s="104" t="s">
        <v>41</v>
      </c>
      <c r="AL98" s="108"/>
      <c r="AM98" s="109"/>
      <c r="AO98" s="262" t="str">
        <f>informatieblad!$A$2</f>
        <v>FL20 loose</v>
      </c>
      <c r="AP98" s="262" t="str">
        <f>informatieblad!$A$3</f>
        <v>FL30 loose</v>
      </c>
      <c r="AQ98" s="263" t="str">
        <f>informatieblad!$A$4</f>
        <v>FL40 loose</v>
      </c>
      <c r="AR98" s="282"/>
      <c r="AT98" s="267"/>
      <c r="AV98" s="83" t="str">
        <f>'UC mounting materials '!$B$10</f>
        <v>Rail 30x15</v>
      </c>
      <c r="AW98" s="327">
        <f>IF(AE99&lt;1000,(AE99+100),0)*C99</f>
        <v>0</v>
      </c>
      <c r="AY98" s="265" t="s">
        <v>47</v>
      </c>
      <c r="AZ98" s="83" t="s">
        <v>23</v>
      </c>
      <c r="BA98" s="273" t="s">
        <v>23</v>
      </c>
    </row>
    <row r="99" spans="1:53" ht="15.75" thickBot="1">
      <c r="A99" s="476"/>
      <c r="B99" s="186" t="s">
        <v>23</v>
      </c>
      <c r="C99" s="110"/>
      <c r="D99" s="139"/>
      <c r="E99" s="94">
        <f>C99*W99</f>
        <v>0</v>
      </c>
      <c r="F99" s="141" t="s">
        <v>24</v>
      </c>
      <c r="G99" s="451" t="s">
        <v>25</v>
      </c>
      <c r="H99" s="484"/>
      <c r="I99" s="484"/>
      <c r="J99" s="484"/>
      <c r="K99" s="485"/>
      <c r="L99" s="176"/>
      <c r="U99" s="111"/>
      <c r="V99" s="112">
        <f>ROUND((((2*(B97+C97))*AF99)/1000000),2)</f>
        <v>0</v>
      </c>
      <c r="W99" s="158">
        <f>((IF(V99&lt;=informatieblad!$I$15,informatieblad!$I$15,IF(V99&gt;=informatieblad!$I$15,V99))))</f>
        <v>1</v>
      </c>
      <c r="X99" s="112">
        <f>ROUND((((2*(B97+C97))*AF99)/1000000),2)</f>
        <v>0</v>
      </c>
      <c r="Y99" s="112">
        <f>((IF(X99&lt;=informatieblad!$H$15,informatieblad!$H$15,IF(X99&gt;=informatieblad!$H$15,X99))))</f>
        <v>0</v>
      </c>
      <c r="Z99" s="113">
        <f>((Y99*AJ99)+(Y99*AC99))*C99</f>
        <v>0</v>
      </c>
      <c r="AA99" s="114">
        <f>((W99*AK99)+(W99*AD99))*C99</f>
        <v>0</v>
      </c>
      <c r="AB99" s="115" t="str">
        <f>G99</f>
        <v>Options None</v>
      </c>
      <c r="AC99" s="115">
        <f>VLOOKUP(G99,informatieblad!$A$37:$D$41,2,FALSE)</f>
        <v>0</v>
      </c>
      <c r="AD99" s="115">
        <f>VLOOKUP(G99,informatieblad!$A$37:$D$41,4,FALSE)</f>
        <v>0</v>
      </c>
      <c r="AE99" s="160">
        <f>(MAX(B97:C97))</f>
        <v>0</v>
      </c>
      <c r="AF99" s="161">
        <f>(MAX(AH99,AG99))</f>
        <v>0</v>
      </c>
      <c r="AG99" s="162">
        <f>ROUND((SQRT((((MAX(E97,F97))^2)+(K97^2)))),0)</f>
        <v>0</v>
      </c>
      <c r="AH99" s="163">
        <f>ROUND((SQRT((((MAX(G97,H97))^2)+(K97^2)))),0)</f>
        <v>0</v>
      </c>
      <c r="AI99" s="119">
        <f>LOOKUP(AE99,informatieblad!$C$27:$C$32,informatieblad!$A$27:$A$32)</f>
        <v>0.5</v>
      </c>
      <c r="AJ99" s="118">
        <f>VLOOKUP(AI99,informatieblad!$A$27:$M$32,6,FALSE)</f>
        <v>0</v>
      </c>
      <c r="AK99" s="118">
        <f>VLOOKUP(AI99,informatieblad!$A$27:$M$32,8,FALSE)</f>
        <v>45.1248</v>
      </c>
      <c r="AL99" s="120">
        <f>VLOOKUP(AI99,informatieblad!$A$27:$M$32,13,FALSE)</f>
        <v>4</v>
      </c>
      <c r="AM99" s="121">
        <f>ROUND((AL99*X99),1)</f>
        <v>0</v>
      </c>
      <c r="AO99" s="111">
        <f>(IF(B98=AO97,((2*B97)+(2*C97)),IF(B98=AO98,((2*B97)+(2*C97)),0)))*C99</f>
        <v>0</v>
      </c>
      <c r="AP99" s="111">
        <f>(IF(B98=AP97,((2*B97)+(2*C97)),IF(B98=AP98,((2*B97)+(2*C97)),0)))*C99</f>
        <v>0</v>
      </c>
      <c r="AQ99" s="261">
        <f>(IF(B98=AQ97,((2*B97)+(2*C97)),IF(B98=AQ98,((2*B97)+(2*C97)),0)))*C99</f>
        <v>0</v>
      </c>
      <c r="AR99" s="283">
        <f>(IF(B98=AR97,((2*B97)+(2*C97)),0))*C99</f>
        <v>0</v>
      </c>
      <c r="AT99" s="268">
        <f>K97*C99</f>
        <v>0</v>
      </c>
      <c r="AV99" s="83" t="str">
        <f>'UC mounting materials '!$B$11</f>
        <v>Rail 41x41</v>
      </c>
      <c r="AW99" s="268">
        <f>IF(AE99&gt;999,(AE99+100),0)*C99</f>
        <v>0</v>
      </c>
      <c r="AY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AZ99" s="276">
        <f>IF(AY99=AZ97,(4*C99),0)</f>
        <v>0</v>
      </c>
      <c r="BA99" s="274">
        <f>IF(AY99=BA97,(4*C99),0)</f>
        <v>0</v>
      </c>
    </row>
    <row r="100" spans="1:53" ht="5.0999999999999996" customHeight="1" thickBot="1">
      <c r="A100" s="145"/>
      <c r="B100" s="122"/>
      <c r="C100" s="122"/>
      <c r="D100" s="122"/>
      <c r="E100" s="122"/>
      <c r="F100" s="122"/>
      <c r="G100" s="122"/>
      <c r="H100" s="122"/>
      <c r="I100" s="122"/>
      <c r="J100" s="122"/>
      <c r="K100" s="146"/>
    </row>
    <row r="101" spans="1:53" ht="14.25" customHeight="1" thickBot="1">
      <c r="A101" s="445"/>
      <c r="B101" s="96"/>
      <c r="C101" s="96"/>
      <c r="D101" s="96"/>
      <c r="E101" s="96">
        <f>(B101-D101)/2</f>
        <v>0</v>
      </c>
      <c r="F101" s="167">
        <f>B101-D101-E101</f>
        <v>0</v>
      </c>
      <c r="G101" s="96">
        <f>(C101-D101)/2</f>
        <v>0</v>
      </c>
      <c r="H101" s="167">
        <f>C101-D101-G101</f>
        <v>0</v>
      </c>
      <c r="I101" s="300" t="str">
        <f>IF($B101&gt;0,$K$10,"")</f>
        <v/>
      </c>
      <c r="J101" s="300" t="str">
        <f>IF($B101&gt;0,$K$11,"")</f>
        <v/>
      </c>
      <c r="K101" s="178"/>
      <c r="L101" s="345" t="s">
        <v>20</v>
      </c>
      <c r="U101" s="97" t="s">
        <v>14</v>
      </c>
      <c r="V101" s="98" t="s">
        <v>27</v>
      </c>
      <c r="W101" s="98" t="s">
        <v>28</v>
      </c>
      <c r="X101" s="98" t="s">
        <v>27</v>
      </c>
      <c r="Y101" s="98" t="s">
        <v>28</v>
      </c>
      <c r="Z101" s="98" t="s">
        <v>29</v>
      </c>
      <c r="AA101" s="66" t="s">
        <v>30</v>
      </c>
      <c r="AB101" s="153" t="s">
        <v>31</v>
      </c>
      <c r="AC101" s="153"/>
      <c r="AD101" s="153"/>
      <c r="AE101" s="100" t="s">
        <v>83</v>
      </c>
      <c r="AF101" s="98" t="s">
        <v>84</v>
      </c>
      <c r="AG101" s="98" t="s">
        <v>89</v>
      </c>
      <c r="AH101" s="100" t="s">
        <v>90</v>
      </c>
      <c r="AI101" s="100" t="s">
        <v>34</v>
      </c>
      <c r="AJ101" s="98" t="s">
        <v>32</v>
      </c>
      <c r="AK101" s="98" t="s">
        <v>32</v>
      </c>
      <c r="AL101" s="98" t="s">
        <v>49</v>
      </c>
      <c r="AM101" s="101" t="s">
        <v>36</v>
      </c>
      <c r="AO101" s="97" t="str">
        <f>informatieblad!$A$6</f>
        <v>FL20</v>
      </c>
      <c r="AP101" s="97" t="str">
        <f>informatieblad!$A$7</f>
        <v>FL30</v>
      </c>
      <c r="AQ101" s="99" t="str">
        <f>informatieblad!$A$8</f>
        <v>FL40</v>
      </c>
      <c r="AR101" s="266" t="str">
        <f>informatieblad!$A$5</f>
        <v>none</v>
      </c>
      <c r="AT101" s="266" t="s">
        <v>17</v>
      </c>
      <c r="AW101" s="266" t="s">
        <v>37</v>
      </c>
      <c r="AY101" s="269" t="s">
        <v>38</v>
      </c>
      <c r="AZ101" s="272">
        <f>informatieblad!$B$3</f>
        <v>0</v>
      </c>
      <c r="BA101" s="264">
        <f>informatieblad!$B$4</f>
        <v>0</v>
      </c>
    </row>
    <row r="102" spans="1:53" ht="15" customHeight="1">
      <c r="A102" s="481"/>
      <c r="B102" s="482" t="str">
        <f>IF($C103&gt;0,IF(MAX(B101:C101)&lt;informatieblad!$Q$4,informatieblad!$P$3,IF(MAX(B101:C101)&gt;informatieblad!$R$4,informatieblad!$P$5,informatieblad!$P$4)),"")</f>
        <v/>
      </c>
      <c r="C102" s="483"/>
      <c r="D102" s="303" t="str">
        <f>A101&amp;"-"&amp;informatieblad!$B$15&amp;"-"&amp;B101&amp;"-"&amp;C101&amp;"-"&amp;D101&amp;"-"&amp;E101&amp;"-"&amp;F101&amp;"-"&amp;G101&amp;"-"&amp;H101&amp;"-"&amp;I101&amp;"-"&amp;J101&amp;"-"&amp;K101&amp;"-"&amp;B102&amp;"-"&amp;G103</f>
        <v>-RctRR----0-0-0-0-----Options None</v>
      </c>
      <c r="E102" s="174"/>
      <c r="F102" s="174"/>
      <c r="G102" s="174"/>
      <c r="H102" s="469" t="s">
        <v>82</v>
      </c>
      <c r="I102" s="470"/>
      <c r="J102" s="470"/>
      <c r="K102" s="191" t="str">
        <f>(IF($C103&gt;0,(IF(MAX((MAX(B101,C101)-D101)/2,(D101-MAX(B101,C101)))*1.732&gt;270,MAX((MAX(B101,C101)-D101)/2,(D222-MAX(B101,C101)))*1.732,270)+30),""))</f>
        <v/>
      </c>
      <c r="L102" s="83"/>
      <c r="U102" s="103">
        <f>A101</f>
        <v>0</v>
      </c>
      <c r="V102" s="104" t="s">
        <v>39</v>
      </c>
      <c r="W102" s="104" t="s">
        <v>39</v>
      </c>
      <c r="X102" s="104" t="s">
        <v>40</v>
      </c>
      <c r="Y102" s="104" t="s">
        <v>40</v>
      </c>
      <c r="Z102" s="104" t="s">
        <v>40</v>
      </c>
      <c r="AA102" s="105"/>
      <c r="AB102" s="155" t="s">
        <v>27</v>
      </c>
      <c r="AC102" s="155" t="s">
        <v>40</v>
      </c>
      <c r="AD102" s="155" t="s">
        <v>41</v>
      </c>
      <c r="AE102" s="104"/>
      <c r="AG102" s="136" t="s">
        <v>15</v>
      </c>
      <c r="AH102" s="136" t="s">
        <v>16</v>
      </c>
      <c r="AI102" s="107"/>
      <c r="AJ102" s="104" t="s">
        <v>40</v>
      </c>
      <c r="AK102" s="104" t="s">
        <v>41</v>
      </c>
      <c r="AL102" s="108"/>
      <c r="AM102" s="109"/>
      <c r="AO102" s="262" t="str">
        <f>informatieblad!$A$2</f>
        <v>FL20 loose</v>
      </c>
      <c r="AP102" s="262" t="str">
        <f>informatieblad!$A$3</f>
        <v>FL30 loose</v>
      </c>
      <c r="AQ102" s="263" t="str">
        <f>informatieblad!$A$4</f>
        <v>FL40 loose</v>
      </c>
      <c r="AR102" s="282"/>
      <c r="AT102" s="267"/>
      <c r="AV102" s="83" t="str">
        <f>'UC mounting materials '!$B$10</f>
        <v>Rail 30x15</v>
      </c>
      <c r="AW102" s="327">
        <f>IF(AE103&lt;1000,(AE103+100),0)*C103</f>
        <v>0</v>
      </c>
      <c r="AY102" s="265" t="s">
        <v>47</v>
      </c>
      <c r="AZ102" s="83" t="s">
        <v>23</v>
      </c>
      <c r="BA102" s="273" t="s">
        <v>23</v>
      </c>
    </row>
    <row r="103" spans="1:53" ht="15.75" thickBot="1">
      <c r="A103" s="476"/>
      <c r="B103" s="186" t="s">
        <v>23</v>
      </c>
      <c r="C103" s="110"/>
      <c r="D103" s="139"/>
      <c r="E103" s="94">
        <f>C103*W103</f>
        <v>0</v>
      </c>
      <c r="F103" s="141" t="s">
        <v>24</v>
      </c>
      <c r="G103" s="451" t="s">
        <v>25</v>
      </c>
      <c r="H103" s="484"/>
      <c r="I103" s="484"/>
      <c r="J103" s="484"/>
      <c r="K103" s="485"/>
      <c r="L103" s="176"/>
      <c r="U103" s="111"/>
      <c r="V103" s="112">
        <f>ROUND((((2*(B101+C101))*AF103)/1000000),2)</f>
        <v>0</v>
      </c>
      <c r="W103" s="158">
        <f>((IF(V103&lt;=informatieblad!$I$15,informatieblad!$I$15,IF(V103&gt;=informatieblad!$I$15,V103))))</f>
        <v>1</v>
      </c>
      <c r="X103" s="112">
        <f>ROUND((((2*(B101+C101))*AF103)/1000000),2)</f>
        <v>0</v>
      </c>
      <c r="Y103" s="112">
        <f>((IF(X103&lt;=informatieblad!$H$15,informatieblad!$H$15,IF(X103&gt;=informatieblad!$H$15,X103))))</f>
        <v>0</v>
      </c>
      <c r="Z103" s="113">
        <f>((Y103*AJ103)+(Y103*AC103))*C103</f>
        <v>0</v>
      </c>
      <c r="AA103" s="114">
        <f>((W103*AK103)+(W103*AD103))*C103</f>
        <v>0</v>
      </c>
      <c r="AB103" s="115" t="str">
        <f>G103</f>
        <v>Options None</v>
      </c>
      <c r="AC103" s="115">
        <f>VLOOKUP(G103,informatieblad!$A$37:$D$41,2,FALSE)</f>
        <v>0</v>
      </c>
      <c r="AD103" s="115">
        <f>VLOOKUP(G103,informatieblad!$A$37:$D$41,4,FALSE)</f>
        <v>0</v>
      </c>
      <c r="AE103" s="160">
        <f>(MAX(B101:C101))</f>
        <v>0</v>
      </c>
      <c r="AF103" s="161">
        <f>(MAX(AH103,AG103))</f>
        <v>0</v>
      </c>
      <c r="AG103" s="162">
        <f>ROUND((SQRT((((MAX(E101,F101))^2)+(K101^2)))),0)</f>
        <v>0</v>
      </c>
      <c r="AH103" s="163">
        <f>ROUND((SQRT((((MAX(G101,H101))^2)+(K101^2)))),0)</f>
        <v>0</v>
      </c>
      <c r="AI103" s="119">
        <f>LOOKUP(AE103,informatieblad!$C$27:$C$32,informatieblad!$A$27:$A$32)</f>
        <v>0.5</v>
      </c>
      <c r="AJ103" s="118">
        <f>VLOOKUP(AI103,informatieblad!$A$27:$M$32,6,FALSE)</f>
        <v>0</v>
      </c>
      <c r="AK103" s="118">
        <f>VLOOKUP(AI103,informatieblad!$A$27:$M$32,8,FALSE)</f>
        <v>45.1248</v>
      </c>
      <c r="AL103" s="120">
        <f>VLOOKUP(AI103,informatieblad!$A$27:$M$32,13,FALSE)</f>
        <v>4</v>
      </c>
      <c r="AM103" s="121">
        <f>ROUND((AL103*X103),1)</f>
        <v>0</v>
      </c>
      <c r="AO103" s="111">
        <f>(IF(B102=AO101,((2*B101)+(2*C101)),IF(B102=AO102,((2*B101)+(2*C101)),0)))*C103</f>
        <v>0</v>
      </c>
      <c r="AP103" s="111">
        <f>(IF(B102=AP101,((2*B101)+(2*C101)),IF(B102=AP102,((2*B101)+(2*C101)),0)))*C103</f>
        <v>0</v>
      </c>
      <c r="AQ103" s="261">
        <f>(IF(B102=AQ101,((2*B101)+(2*C101)),IF(B102=AQ102,((2*B101)+(2*C101)),0)))*C103</f>
        <v>0</v>
      </c>
      <c r="AR103" s="283">
        <f>(IF(B102=AR101,((2*B101)+(2*C101)),0))*C103</f>
        <v>0</v>
      </c>
      <c r="AT103" s="268">
        <f>K101*C103</f>
        <v>0</v>
      </c>
      <c r="AV103" s="83" t="str">
        <f>'UC mounting materials '!$B$11</f>
        <v>Rail 41x41</v>
      </c>
      <c r="AW103" s="268">
        <f>IF(AE103&gt;999,(AE103+100),0)*C103</f>
        <v>0</v>
      </c>
      <c r="AY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AZ103" s="276">
        <f>IF(AY103=AZ101,(4*C103),0)</f>
        <v>0</v>
      </c>
      <c r="BA103" s="274">
        <f>IF(AY103=BA101,(4*C103),0)</f>
        <v>0</v>
      </c>
    </row>
    <row r="104" spans="1:53" ht="14.25" customHeight="1" thickBot="1">
      <c r="A104" s="145"/>
      <c r="B104" s="122"/>
      <c r="C104" s="122"/>
      <c r="D104" s="122"/>
      <c r="E104" s="122"/>
      <c r="F104" s="122"/>
      <c r="G104" s="122"/>
      <c r="H104" s="122"/>
      <c r="I104" s="122"/>
      <c r="J104" s="122"/>
      <c r="K104" s="146"/>
    </row>
    <row r="105" spans="1:53" ht="14.25" customHeight="1" thickBot="1">
      <c r="A105" s="445"/>
      <c r="B105" s="96"/>
      <c r="C105" s="96"/>
      <c r="D105" s="96"/>
      <c r="E105" s="96">
        <f>(B105-D105)/2</f>
        <v>0</v>
      </c>
      <c r="F105" s="167">
        <f>B105-D105-E105</f>
        <v>0</v>
      </c>
      <c r="G105" s="96">
        <f>(C105-D105)/2</f>
        <v>0</v>
      </c>
      <c r="H105" s="167">
        <f>C105-D105-G105</f>
        <v>0</v>
      </c>
      <c r="I105" s="300" t="str">
        <f>IF($B105&gt;0,$K$10,"")</f>
        <v/>
      </c>
      <c r="J105" s="300" t="str">
        <f>IF($B105&gt;0,$K$11,"")</f>
        <v/>
      </c>
      <c r="K105" s="178"/>
      <c r="L105" s="345" t="s">
        <v>20</v>
      </c>
      <c r="U105" s="97" t="s">
        <v>14</v>
      </c>
      <c r="V105" s="98" t="s">
        <v>27</v>
      </c>
      <c r="W105" s="98" t="s">
        <v>28</v>
      </c>
      <c r="X105" s="98" t="s">
        <v>27</v>
      </c>
      <c r="Y105" s="98" t="s">
        <v>28</v>
      </c>
      <c r="Z105" s="98" t="s">
        <v>29</v>
      </c>
      <c r="AA105" s="66" t="s">
        <v>30</v>
      </c>
      <c r="AB105" s="153" t="s">
        <v>31</v>
      </c>
      <c r="AC105" s="153"/>
      <c r="AD105" s="153"/>
      <c r="AE105" s="100" t="s">
        <v>83</v>
      </c>
      <c r="AF105" s="98" t="s">
        <v>84</v>
      </c>
      <c r="AG105" s="98" t="s">
        <v>89</v>
      </c>
      <c r="AH105" s="100" t="s">
        <v>90</v>
      </c>
      <c r="AI105" s="100" t="s">
        <v>34</v>
      </c>
      <c r="AJ105" s="98" t="s">
        <v>32</v>
      </c>
      <c r="AK105" s="98" t="s">
        <v>32</v>
      </c>
      <c r="AL105" s="98" t="s">
        <v>49</v>
      </c>
      <c r="AM105" s="101" t="s">
        <v>36</v>
      </c>
      <c r="AO105" s="97" t="str">
        <f>informatieblad!$A$6</f>
        <v>FL20</v>
      </c>
      <c r="AP105" s="97" t="str">
        <f>informatieblad!$A$7</f>
        <v>FL30</v>
      </c>
      <c r="AQ105" s="99" t="str">
        <f>informatieblad!$A$8</f>
        <v>FL40</v>
      </c>
      <c r="AR105" s="266" t="str">
        <f>informatieblad!$A$5</f>
        <v>none</v>
      </c>
      <c r="AT105" s="266" t="s">
        <v>17</v>
      </c>
      <c r="AW105" s="266" t="s">
        <v>37</v>
      </c>
      <c r="AY105" s="269" t="s">
        <v>38</v>
      </c>
      <c r="AZ105" s="272">
        <f>informatieblad!$B$3</f>
        <v>0</v>
      </c>
      <c r="BA105" s="264">
        <f>informatieblad!$B$4</f>
        <v>0</v>
      </c>
    </row>
    <row r="106" spans="1:53" ht="15" customHeight="1">
      <c r="A106" s="481"/>
      <c r="B106" s="482" t="str">
        <f>IF($C107&gt;0,IF(MAX(B105:C105)&lt;informatieblad!$Q$4,informatieblad!$P$3,IF(MAX(B105:C105)&gt;informatieblad!$R$4,informatieblad!$P$5,informatieblad!$P$4)),"")</f>
        <v/>
      </c>
      <c r="C106" s="483"/>
      <c r="D106" s="190" t="str">
        <f>A105&amp;"-"&amp;informatieblad!$B$15&amp;"-"&amp;B105&amp;"-"&amp;C105&amp;"-"&amp;D105&amp;"-"&amp;E105&amp;"-"&amp;F105&amp;"-"&amp;G105&amp;"-"&amp;H105&amp;"-"&amp;I105&amp;"-"&amp;J105&amp;"-"&amp;K105&amp;"-"&amp;B106&amp;"-"&amp;G107</f>
        <v>-RctRR----0-0-0-0-----Options None</v>
      </c>
      <c r="E106" s="174"/>
      <c r="F106" s="174"/>
      <c r="G106" s="174"/>
      <c r="H106" s="469" t="s">
        <v>82</v>
      </c>
      <c r="I106" s="470"/>
      <c r="J106" s="470"/>
      <c r="K106" s="191" t="str">
        <f>(IF($C107&gt;0,(IF(MAX((MAX(B105,C105)-D105)/2,(D105-MAX(B105,C105)))*1.732&gt;270,MAX((MAX(B105,C105)-D105)/2,(D226-MAX(B105,C105)))*1.732,270)+30),""))</f>
        <v/>
      </c>
      <c r="L106" s="83"/>
      <c r="U106" s="103">
        <f>A105</f>
        <v>0</v>
      </c>
      <c r="V106" s="104" t="s">
        <v>39</v>
      </c>
      <c r="W106" s="104" t="s">
        <v>39</v>
      </c>
      <c r="X106" s="104" t="s">
        <v>40</v>
      </c>
      <c r="Y106" s="104" t="s">
        <v>40</v>
      </c>
      <c r="Z106" s="104" t="s">
        <v>40</v>
      </c>
      <c r="AA106" s="105"/>
      <c r="AB106" s="155" t="s">
        <v>27</v>
      </c>
      <c r="AC106" s="155" t="s">
        <v>40</v>
      </c>
      <c r="AD106" s="155" t="s">
        <v>41</v>
      </c>
      <c r="AE106" s="104"/>
      <c r="AG106" s="136" t="s">
        <v>15</v>
      </c>
      <c r="AH106" s="136" t="s">
        <v>16</v>
      </c>
      <c r="AI106" s="107"/>
      <c r="AJ106" s="104" t="s">
        <v>40</v>
      </c>
      <c r="AK106" s="104" t="s">
        <v>41</v>
      </c>
      <c r="AL106" s="108"/>
      <c r="AM106" s="109"/>
      <c r="AO106" s="262" t="str">
        <f>informatieblad!$A$2</f>
        <v>FL20 loose</v>
      </c>
      <c r="AP106" s="262" t="str">
        <f>informatieblad!$A$3</f>
        <v>FL30 loose</v>
      </c>
      <c r="AQ106" s="263" t="str">
        <f>informatieblad!$A$4</f>
        <v>FL40 loose</v>
      </c>
      <c r="AR106" s="282"/>
      <c r="AT106" s="267"/>
      <c r="AV106" s="83" t="str">
        <f>'UC mounting materials '!$B$10</f>
        <v>Rail 30x15</v>
      </c>
      <c r="AW106" s="327">
        <f>IF(AE107&lt;1000,(AE107+100),0)*C107</f>
        <v>0</v>
      </c>
      <c r="AY106" s="265" t="s">
        <v>47</v>
      </c>
      <c r="AZ106" s="83" t="s">
        <v>23</v>
      </c>
      <c r="BA106" s="273" t="s">
        <v>23</v>
      </c>
    </row>
    <row r="107" spans="1:53" ht="15.75" thickBot="1">
      <c r="A107" s="476"/>
      <c r="B107" s="186" t="s">
        <v>23</v>
      </c>
      <c r="C107" s="110"/>
      <c r="D107" s="139"/>
      <c r="E107" s="94">
        <f>C107*W107</f>
        <v>0</v>
      </c>
      <c r="F107" s="141" t="s">
        <v>24</v>
      </c>
      <c r="G107" s="451" t="s">
        <v>25</v>
      </c>
      <c r="H107" s="484"/>
      <c r="I107" s="484"/>
      <c r="J107" s="484"/>
      <c r="K107" s="485"/>
      <c r="L107" s="176"/>
      <c r="U107" s="111"/>
      <c r="V107" s="112">
        <f>ROUND((((2*(B105+C105))*AF107)/1000000),2)</f>
        <v>0</v>
      </c>
      <c r="W107" s="158">
        <f>((IF(V107&lt;=informatieblad!$I$15,informatieblad!$I$15,IF(V107&gt;=informatieblad!$I$15,V107))))</f>
        <v>1</v>
      </c>
      <c r="X107" s="112">
        <f>ROUND((((2*(B105+C105))*AF107)/1000000),2)</f>
        <v>0</v>
      </c>
      <c r="Y107" s="112">
        <f>((IF(X107&lt;=informatieblad!$H$15,informatieblad!$H$15,IF(X107&gt;=informatieblad!$H$15,X107))))</f>
        <v>0</v>
      </c>
      <c r="Z107" s="113">
        <f>((Y107*AJ107)+(Y107*AC107))*C107</f>
        <v>0</v>
      </c>
      <c r="AA107" s="114">
        <f>((W107*AK107)+(W107*AD107))*C107</f>
        <v>0</v>
      </c>
      <c r="AB107" s="115" t="str">
        <f>G107</f>
        <v>Options None</v>
      </c>
      <c r="AC107" s="115">
        <f>VLOOKUP(G107,informatieblad!$A$37:$D$41,2,FALSE)</f>
        <v>0</v>
      </c>
      <c r="AD107" s="115">
        <f>VLOOKUP(G107,informatieblad!$A$37:$D$41,4,FALSE)</f>
        <v>0</v>
      </c>
      <c r="AE107" s="160">
        <f>(MAX(B105:C105))</f>
        <v>0</v>
      </c>
      <c r="AF107" s="161">
        <f>(MAX(AH107,AG107))</f>
        <v>0</v>
      </c>
      <c r="AG107" s="162">
        <f>ROUND((SQRT((((MAX(E105,F105))^2)+(K105^2)))),0)</f>
        <v>0</v>
      </c>
      <c r="AH107" s="163">
        <f>ROUND((SQRT((((MAX(G105,H105))^2)+(K105^2)))),0)</f>
        <v>0</v>
      </c>
      <c r="AI107" s="119">
        <f>LOOKUP(AE107,informatieblad!$C$27:$C$32,informatieblad!$A$27:$A$32)</f>
        <v>0.5</v>
      </c>
      <c r="AJ107" s="118">
        <f>VLOOKUP(AI107,informatieblad!$A$27:$M$32,6,FALSE)</f>
        <v>0</v>
      </c>
      <c r="AK107" s="118">
        <f>VLOOKUP(AI107,informatieblad!$A$27:$M$32,8,FALSE)</f>
        <v>45.1248</v>
      </c>
      <c r="AL107" s="120">
        <f>VLOOKUP(AI107,informatieblad!$A$27:$M$32,13,FALSE)</f>
        <v>4</v>
      </c>
      <c r="AM107" s="121">
        <f>ROUND((AL107*X107),1)</f>
        <v>0</v>
      </c>
      <c r="AO107" s="111">
        <f>(IF(B106=AO105,((2*B105)+(2*C105)),IF(B106=AO106,((2*B105)+(2*C105)),0)))*C107</f>
        <v>0</v>
      </c>
      <c r="AP107" s="111">
        <f>(IF(B106=AP105,((2*B105)+(2*C105)),IF(B106=AP106,((2*B105)+(2*C105)),0)))*C107</f>
        <v>0</v>
      </c>
      <c r="AQ107" s="261">
        <f>(IF(B106=AQ105,((2*B105)+(2*C105)),IF(B106=AQ106,((2*B105)+(2*C105)),0)))*C107</f>
        <v>0</v>
      </c>
      <c r="AR107" s="283">
        <f>(IF(B106=AR105,((2*B105)+(2*C105)),0))*C107</f>
        <v>0</v>
      </c>
      <c r="AT107" s="268">
        <f>K105*C107</f>
        <v>0</v>
      </c>
      <c r="AV107" s="83" t="str">
        <f>'UC mounting materials '!$B$11</f>
        <v>Rail 41x41</v>
      </c>
      <c r="AW107" s="268">
        <f>IF(AE107&gt;999,(AE107+100),0)*C107</f>
        <v>0</v>
      </c>
      <c r="AY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AZ107" s="276">
        <f>IF(AY107=AZ105,(4*C107),0)</f>
        <v>0</v>
      </c>
      <c r="BA107" s="274">
        <f>IF(AY107=BA105,(4*C107),0)</f>
        <v>0</v>
      </c>
    </row>
    <row r="108" spans="1:53" ht="5.0999999999999996" customHeight="1" thickBot="1">
      <c r="A108" s="145"/>
      <c r="B108" s="122"/>
      <c r="C108" s="122"/>
      <c r="D108" s="122"/>
      <c r="E108" s="122"/>
      <c r="F108" s="122"/>
      <c r="G108" s="122"/>
      <c r="H108" s="122"/>
      <c r="I108" s="122"/>
      <c r="J108" s="122"/>
      <c r="K108" s="146"/>
    </row>
    <row r="109" spans="1:53" ht="14.25" customHeight="1" thickBot="1">
      <c r="A109" s="445"/>
      <c r="B109" s="96"/>
      <c r="C109" s="96"/>
      <c r="D109" s="96"/>
      <c r="E109" s="96">
        <f>(B109-D109)/2</f>
        <v>0</v>
      </c>
      <c r="F109" s="167">
        <f>B109-D109-E109</f>
        <v>0</v>
      </c>
      <c r="G109" s="96">
        <f>(C109-D109)/2</f>
        <v>0</v>
      </c>
      <c r="H109" s="167">
        <f>C109-D109-G109</f>
        <v>0</v>
      </c>
      <c r="I109" s="300" t="str">
        <f>IF($B109&gt;0,$K$10,"")</f>
        <v/>
      </c>
      <c r="J109" s="300" t="str">
        <f>IF($B109&gt;0,$K$11,"")</f>
        <v/>
      </c>
      <c r="K109" s="178"/>
      <c r="L109" s="345" t="s">
        <v>20</v>
      </c>
      <c r="U109" s="97" t="s">
        <v>14</v>
      </c>
      <c r="V109" s="98" t="s">
        <v>27</v>
      </c>
      <c r="W109" s="98" t="s">
        <v>28</v>
      </c>
      <c r="X109" s="98" t="s">
        <v>27</v>
      </c>
      <c r="Y109" s="98" t="s">
        <v>28</v>
      </c>
      <c r="Z109" s="98" t="s">
        <v>29</v>
      </c>
      <c r="AA109" s="66" t="s">
        <v>30</v>
      </c>
      <c r="AB109" s="153" t="s">
        <v>31</v>
      </c>
      <c r="AC109" s="153"/>
      <c r="AD109" s="153"/>
      <c r="AE109" s="100" t="s">
        <v>83</v>
      </c>
      <c r="AF109" s="98" t="s">
        <v>84</v>
      </c>
      <c r="AG109" s="98" t="s">
        <v>89</v>
      </c>
      <c r="AH109" s="100" t="s">
        <v>90</v>
      </c>
      <c r="AI109" s="100" t="s">
        <v>34</v>
      </c>
      <c r="AJ109" s="98" t="s">
        <v>32</v>
      </c>
      <c r="AK109" s="98" t="s">
        <v>32</v>
      </c>
      <c r="AL109" s="98" t="s">
        <v>49</v>
      </c>
      <c r="AM109" s="101" t="s">
        <v>36</v>
      </c>
      <c r="AO109" s="97" t="str">
        <f>informatieblad!$A$6</f>
        <v>FL20</v>
      </c>
      <c r="AP109" s="97" t="str">
        <f>informatieblad!$A$7</f>
        <v>FL30</v>
      </c>
      <c r="AQ109" s="99" t="str">
        <f>informatieblad!$A$8</f>
        <v>FL40</v>
      </c>
      <c r="AR109" s="266" t="str">
        <f>informatieblad!$A$5</f>
        <v>none</v>
      </c>
      <c r="AS109" s="62"/>
      <c r="AT109" s="266" t="s">
        <v>17</v>
      </c>
      <c r="AW109" s="266" t="s">
        <v>37</v>
      </c>
      <c r="AY109" s="269" t="s">
        <v>38</v>
      </c>
      <c r="AZ109" s="272">
        <f>informatieblad!$B$3</f>
        <v>0</v>
      </c>
      <c r="BA109" s="264">
        <f>informatieblad!$B$4</f>
        <v>0</v>
      </c>
    </row>
    <row r="110" spans="1:53" ht="15" customHeight="1">
      <c r="A110" s="481"/>
      <c r="B110" s="482" t="str">
        <f>IF($C111&gt;0,IF(MAX(B109:C109)&lt;informatieblad!$Q$4,informatieblad!$P$3,IF(MAX(B109:C109)&gt;informatieblad!$R$4,informatieblad!$P$5,informatieblad!$P$4)),"")</f>
        <v/>
      </c>
      <c r="C110" s="483"/>
      <c r="D110" s="303" t="str">
        <f>A109&amp;"-"&amp;informatieblad!$B$15&amp;"-"&amp;B109&amp;"-"&amp;C109&amp;"-"&amp;D109&amp;"-"&amp;E109&amp;"-"&amp;F109&amp;"-"&amp;G109&amp;"-"&amp;H109&amp;"-"&amp;I109&amp;"-"&amp;J109&amp;"-"&amp;K109&amp;"-"&amp;B110&amp;"-"&amp;G111</f>
        <v>-RctRR----0-0-0-0-----Options None</v>
      </c>
      <c r="E110" s="174"/>
      <c r="F110" s="174"/>
      <c r="G110" s="174"/>
      <c r="H110" s="469" t="s">
        <v>82</v>
      </c>
      <c r="I110" s="470"/>
      <c r="J110" s="470"/>
      <c r="K110" s="191" t="str">
        <f>(IF($C111&gt;0,(IF(MAX((MAX(B109,C109)-D109)/2,(D109-MAX(B109,C109)))*1.732&gt;270,MAX((MAX(B109,C109)-D109)/2,(D230-MAX(B109,C109)))*1.732,270)+30),""))</f>
        <v/>
      </c>
      <c r="L110" s="83"/>
      <c r="U110" s="103">
        <f>A109</f>
        <v>0</v>
      </c>
      <c r="V110" s="104" t="s">
        <v>39</v>
      </c>
      <c r="W110" s="104" t="s">
        <v>39</v>
      </c>
      <c r="X110" s="104" t="s">
        <v>40</v>
      </c>
      <c r="Y110" s="104" t="s">
        <v>40</v>
      </c>
      <c r="Z110" s="104" t="s">
        <v>40</v>
      </c>
      <c r="AA110" s="105"/>
      <c r="AB110" s="155" t="s">
        <v>27</v>
      </c>
      <c r="AC110" s="155" t="s">
        <v>40</v>
      </c>
      <c r="AD110" s="155" t="s">
        <v>41</v>
      </c>
      <c r="AE110" s="104"/>
      <c r="AG110" s="136" t="s">
        <v>15</v>
      </c>
      <c r="AH110" s="136" t="s">
        <v>16</v>
      </c>
      <c r="AI110" s="107"/>
      <c r="AJ110" s="104" t="s">
        <v>40</v>
      </c>
      <c r="AK110" s="104" t="s">
        <v>41</v>
      </c>
      <c r="AL110" s="108"/>
      <c r="AM110" s="109"/>
      <c r="AO110" s="262" t="str">
        <f>informatieblad!$A$2</f>
        <v>FL20 loose</v>
      </c>
      <c r="AP110" s="262" t="str">
        <f>informatieblad!$A$3</f>
        <v>FL30 loose</v>
      </c>
      <c r="AQ110" s="263" t="str">
        <f>informatieblad!$A$4</f>
        <v>FL40 loose</v>
      </c>
      <c r="AR110" s="282"/>
      <c r="AT110" s="267"/>
      <c r="AV110" s="83" t="str">
        <f>'UC mounting materials '!$B$10</f>
        <v>Rail 30x15</v>
      </c>
      <c r="AW110" s="327">
        <f>IF(AE111&lt;1000,(AE111+100),0)*C111</f>
        <v>0</v>
      </c>
      <c r="AY110" s="265" t="s">
        <v>47</v>
      </c>
      <c r="AZ110" s="83" t="s">
        <v>23</v>
      </c>
      <c r="BA110" s="273" t="s">
        <v>23</v>
      </c>
    </row>
    <row r="111" spans="1:53" ht="15.75" thickBot="1">
      <c r="A111" s="476"/>
      <c r="B111" s="186" t="s">
        <v>23</v>
      </c>
      <c r="C111" s="110"/>
      <c r="D111" s="139"/>
      <c r="E111" s="94">
        <f>C111*W111</f>
        <v>0</v>
      </c>
      <c r="F111" s="141" t="s">
        <v>24</v>
      </c>
      <c r="G111" s="451" t="s">
        <v>25</v>
      </c>
      <c r="H111" s="484"/>
      <c r="I111" s="484"/>
      <c r="J111" s="484"/>
      <c r="K111" s="485"/>
      <c r="L111" s="176"/>
      <c r="U111" s="111"/>
      <c r="V111" s="112">
        <f>ROUND((((2*(B109+C109))*AF111)/1000000),2)</f>
        <v>0</v>
      </c>
      <c r="W111" s="158">
        <f>((IF(V111&lt;=informatieblad!$I$15,informatieblad!$I$15,IF(V111&gt;=informatieblad!$I$15,V111))))</f>
        <v>1</v>
      </c>
      <c r="X111" s="112">
        <f>ROUND((((2*(B109+C109))*AF111)/1000000),2)</f>
        <v>0</v>
      </c>
      <c r="Y111" s="112">
        <f>((IF(X111&lt;=informatieblad!$H$15,informatieblad!$H$15,IF(X111&gt;=informatieblad!$H$15,X111))))</f>
        <v>0</v>
      </c>
      <c r="Z111" s="113">
        <f>((Y111*AJ111)+(Y111*AC111))*C111</f>
        <v>0</v>
      </c>
      <c r="AA111" s="114">
        <f>((W111*AK111)+(W111*AD111))*C111</f>
        <v>0</v>
      </c>
      <c r="AB111" s="115" t="str">
        <f>G111</f>
        <v>Options None</v>
      </c>
      <c r="AC111" s="115">
        <f>VLOOKUP(G111,informatieblad!$A$37:$D$41,2,FALSE)</f>
        <v>0</v>
      </c>
      <c r="AD111" s="115">
        <f>VLOOKUP(G111,informatieblad!$A$37:$D$41,4,FALSE)</f>
        <v>0</v>
      </c>
      <c r="AE111" s="160">
        <f>(MAX(B109:C109))</f>
        <v>0</v>
      </c>
      <c r="AF111" s="161">
        <f>(MAX(AH111,AG111))</f>
        <v>0</v>
      </c>
      <c r="AG111" s="162">
        <f>ROUND((SQRT((((MAX(E109,F109))^2)+(K109^2)))),0)</f>
        <v>0</v>
      </c>
      <c r="AH111" s="163">
        <f>ROUND((SQRT((((MAX(G109,H109))^2)+(K109^2)))),0)</f>
        <v>0</v>
      </c>
      <c r="AI111" s="119">
        <f>LOOKUP(AE111,informatieblad!$C$27:$C$32,informatieblad!$A$27:$A$32)</f>
        <v>0.5</v>
      </c>
      <c r="AJ111" s="118">
        <f>VLOOKUP(AI111,informatieblad!$A$27:$M$32,6,FALSE)</f>
        <v>0</v>
      </c>
      <c r="AK111" s="118">
        <f>VLOOKUP(AI111,informatieblad!$A$27:$M$32,8,FALSE)</f>
        <v>45.1248</v>
      </c>
      <c r="AL111" s="120">
        <f>VLOOKUP(AI111,informatieblad!$A$27:$M$32,13,FALSE)</f>
        <v>4</v>
      </c>
      <c r="AM111" s="121">
        <f>ROUND((AL111*X111),1)</f>
        <v>0</v>
      </c>
      <c r="AO111" s="111">
        <f>(IF(B110=AO109,((2*B109)+(2*C109)),IF(B110=AO110,((2*B109)+(2*C109)),0)))*C111</f>
        <v>0</v>
      </c>
      <c r="AP111" s="111">
        <f>(IF(B110=AP109,((2*B109)+(2*C109)),IF(B110=AP110,((2*B109)+(2*C109)),0)))*C111</f>
        <v>0</v>
      </c>
      <c r="AQ111" s="261">
        <f>(IF(B110=AQ109,((2*B109)+(2*C109)),IF(B110=AQ110,((2*B109)+(2*C109)),0)))*C111</f>
        <v>0</v>
      </c>
      <c r="AR111" s="283">
        <f>(IF(B110=AR109,((2*B109)+(2*C109)),0))*C111</f>
        <v>0</v>
      </c>
      <c r="AS111" s="72"/>
      <c r="AT111" s="268">
        <f>K109*C111</f>
        <v>0</v>
      </c>
      <c r="AV111" s="83" t="str">
        <f>'UC mounting materials '!$B$11</f>
        <v>Rail 41x41</v>
      </c>
      <c r="AW111" s="268">
        <f>IF(AE111&gt;999,(AE111+100),0)*C111</f>
        <v>0</v>
      </c>
      <c r="AY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AZ111" s="276">
        <f>IF(AY111=AZ109,(4*C111),0)</f>
        <v>0</v>
      </c>
      <c r="BA111" s="274">
        <f>IF(AY111=BA109,(4*C111),0)</f>
        <v>0</v>
      </c>
    </row>
    <row r="112" spans="1:53" ht="5.0999999999999996" customHeight="1" thickBot="1">
      <c r="A112" s="145"/>
      <c r="B112" s="122"/>
      <c r="C112" s="122"/>
      <c r="D112" s="122"/>
      <c r="E112" s="122"/>
      <c r="F112" s="122"/>
      <c r="G112" s="122"/>
      <c r="H112" s="122"/>
      <c r="I112" s="122"/>
      <c r="J112" s="122"/>
      <c r="K112" s="146"/>
    </row>
    <row r="113" spans="1:53" ht="14.25" customHeight="1" thickBot="1">
      <c r="A113" s="445"/>
      <c r="B113" s="96"/>
      <c r="C113" s="96"/>
      <c r="D113" s="96"/>
      <c r="E113" s="96">
        <f>(B113-D113)/2</f>
        <v>0</v>
      </c>
      <c r="F113" s="167">
        <f>B113-D113-E113</f>
        <v>0</v>
      </c>
      <c r="G113" s="96">
        <f>(C113-D113)/2</f>
        <v>0</v>
      </c>
      <c r="H113" s="167">
        <f>C113-D113-G113</f>
        <v>0</v>
      </c>
      <c r="I113" s="300" t="str">
        <f>IF($B113&gt;0,$K$10,"")</f>
        <v/>
      </c>
      <c r="J113" s="300" t="str">
        <f>IF($B113&gt;0,$K$11,"")</f>
        <v/>
      </c>
      <c r="K113" s="178"/>
      <c r="L113" s="345" t="s">
        <v>20</v>
      </c>
      <c r="U113" s="97" t="s">
        <v>14</v>
      </c>
      <c r="V113" s="98" t="s">
        <v>27</v>
      </c>
      <c r="W113" s="98" t="s">
        <v>28</v>
      </c>
      <c r="X113" s="98" t="s">
        <v>27</v>
      </c>
      <c r="Y113" s="98" t="s">
        <v>28</v>
      </c>
      <c r="Z113" s="98" t="s">
        <v>29</v>
      </c>
      <c r="AA113" s="66" t="s">
        <v>30</v>
      </c>
      <c r="AB113" s="153" t="s">
        <v>31</v>
      </c>
      <c r="AC113" s="153"/>
      <c r="AD113" s="153"/>
      <c r="AE113" s="100" t="s">
        <v>83</v>
      </c>
      <c r="AF113" s="98" t="s">
        <v>84</v>
      </c>
      <c r="AG113" s="98" t="s">
        <v>93</v>
      </c>
      <c r="AH113" s="100" t="s">
        <v>94</v>
      </c>
      <c r="AI113" s="100" t="s">
        <v>34</v>
      </c>
      <c r="AJ113" s="98" t="s">
        <v>32</v>
      </c>
      <c r="AK113" s="98" t="s">
        <v>32</v>
      </c>
      <c r="AL113" s="98" t="s">
        <v>50</v>
      </c>
      <c r="AM113" s="101" t="s">
        <v>36</v>
      </c>
      <c r="AO113" s="97" t="str">
        <f>informatieblad!$A$6</f>
        <v>FL20</v>
      </c>
      <c r="AP113" s="97" t="str">
        <f>informatieblad!$A$7</f>
        <v>FL30</v>
      </c>
      <c r="AQ113" s="99" t="str">
        <f>informatieblad!$A$8</f>
        <v>FL40</v>
      </c>
      <c r="AR113" s="266" t="str">
        <f>informatieblad!$A$5</f>
        <v>none</v>
      </c>
      <c r="AT113" s="266" t="s">
        <v>17</v>
      </c>
      <c r="AW113" s="266" t="s">
        <v>37</v>
      </c>
      <c r="AY113" s="269" t="s">
        <v>38</v>
      </c>
      <c r="AZ113" s="272">
        <f>informatieblad!$B$3</f>
        <v>0</v>
      </c>
      <c r="BA113" s="264">
        <f>informatieblad!$B$4</f>
        <v>0</v>
      </c>
    </row>
    <row r="114" spans="1:53" ht="15" customHeight="1">
      <c r="A114" s="481"/>
      <c r="B114" s="482" t="str">
        <f>IF($C115&gt;0,IF(MAX(B113:C113)&lt;informatieblad!$Q$4,informatieblad!$P$3,IF(MAX(B113:C113)&gt;informatieblad!$R$4,informatieblad!$P$5,informatieblad!$P$4)),"")</f>
        <v/>
      </c>
      <c r="C114" s="483"/>
      <c r="D114" s="303" t="str">
        <f>A113&amp;"-"&amp;informatieblad!$B$15&amp;"-"&amp;B113&amp;"-"&amp;C113&amp;"-"&amp;D113&amp;"-"&amp;E113&amp;"-"&amp;F113&amp;"-"&amp;G113&amp;"-"&amp;H113&amp;"-"&amp;I113&amp;"-"&amp;J113&amp;"-"&amp;K113&amp;"-"&amp;B114&amp;"-"&amp;G115</f>
        <v>-RctRR----0-0-0-0-----Options None</v>
      </c>
      <c r="E114" s="174"/>
      <c r="F114" s="174"/>
      <c r="G114" s="174"/>
      <c r="H114" s="469" t="s">
        <v>82</v>
      </c>
      <c r="I114" s="470"/>
      <c r="J114" s="470"/>
      <c r="K114" s="191" t="str">
        <f>(IF($C115&gt;0,(IF(MAX((MAX(B113,C113)-D113)/2,(D113-MAX(B113,C113)))*1.732&gt;270,MAX((MAX(B113,C113)-D113)/2,(D234-MAX(B113,C113)))*1.732,270)+30),""))</f>
        <v/>
      </c>
      <c r="L114" s="83"/>
      <c r="U114" s="103">
        <f>A113</f>
        <v>0</v>
      </c>
      <c r="V114" s="104" t="s">
        <v>39</v>
      </c>
      <c r="W114" s="104" t="s">
        <v>39</v>
      </c>
      <c r="X114" s="104" t="s">
        <v>40</v>
      </c>
      <c r="Y114" s="104" t="s">
        <v>40</v>
      </c>
      <c r="Z114" s="104" t="s">
        <v>40</v>
      </c>
      <c r="AA114" s="105"/>
      <c r="AB114" s="155" t="s">
        <v>27</v>
      </c>
      <c r="AC114" s="155" t="s">
        <v>40</v>
      </c>
      <c r="AD114" s="155" t="s">
        <v>41</v>
      </c>
      <c r="AE114" s="104"/>
      <c r="AG114" s="136" t="s">
        <v>15</v>
      </c>
      <c r="AH114" s="136" t="s">
        <v>16</v>
      </c>
      <c r="AI114" s="107"/>
      <c r="AJ114" s="104" t="s">
        <v>40</v>
      </c>
      <c r="AK114" s="104" t="s">
        <v>41</v>
      </c>
      <c r="AL114" s="108"/>
      <c r="AM114" s="109"/>
      <c r="AO114" s="262" t="str">
        <f>informatieblad!$A$2</f>
        <v>FL20 loose</v>
      </c>
      <c r="AP114" s="262" t="str">
        <f>informatieblad!$A$3</f>
        <v>FL30 loose</v>
      </c>
      <c r="AQ114" s="263" t="str">
        <f>informatieblad!$A$4</f>
        <v>FL40 loose</v>
      </c>
      <c r="AR114" s="282"/>
      <c r="AT114" s="267"/>
      <c r="AV114" s="83" t="str">
        <f>'UC mounting materials '!$B$10</f>
        <v>Rail 30x15</v>
      </c>
      <c r="AW114" s="327">
        <f>IF(AE115&lt;1000,(AE115+100),0)*C115</f>
        <v>0</v>
      </c>
      <c r="AY114" s="265" t="s">
        <v>47</v>
      </c>
      <c r="AZ114" s="83" t="s">
        <v>23</v>
      </c>
      <c r="BA114" s="273" t="s">
        <v>23</v>
      </c>
    </row>
    <row r="115" spans="1:53" ht="15.75" thickBot="1">
      <c r="A115" s="476"/>
      <c r="B115" s="186" t="s">
        <v>23</v>
      </c>
      <c r="C115" s="110"/>
      <c r="D115" s="139"/>
      <c r="E115" s="94">
        <f>C115*W115</f>
        <v>0</v>
      </c>
      <c r="F115" s="141" t="s">
        <v>24</v>
      </c>
      <c r="G115" s="451" t="s">
        <v>25</v>
      </c>
      <c r="H115" s="484"/>
      <c r="I115" s="484"/>
      <c r="J115" s="484"/>
      <c r="K115" s="485"/>
      <c r="L115" s="176"/>
      <c r="U115" s="111"/>
      <c r="V115" s="112">
        <f>ROUND((((2*(B113+C113))*AF115)/1000000),2)</f>
        <v>0</v>
      </c>
      <c r="W115" s="158">
        <f>((IF(V115&lt;=informatieblad!$I$15,informatieblad!$I$15,IF(V115&gt;=informatieblad!$I$15,V115))))</f>
        <v>1</v>
      </c>
      <c r="X115" s="112">
        <f>ROUND((((2*(B113+C113))*AF115)/1000000),2)</f>
        <v>0</v>
      </c>
      <c r="Y115" s="112">
        <f>((IF(X115&lt;=informatieblad!$H$15,informatieblad!$H$15,IF(X115&gt;=informatieblad!$H$15,X115))))</f>
        <v>0</v>
      </c>
      <c r="Z115" s="113">
        <f>((Y115*AJ115)+(Y115*AC115))*C115</f>
        <v>0</v>
      </c>
      <c r="AA115" s="114">
        <f>((W115*AK115)+(W115*AD115))*C115</f>
        <v>0</v>
      </c>
      <c r="AB115" s="115" t="str">
        <f>G115</f>
        <v>Options None</v>
      </c>
      <c r="AC115" s="115">
        <f>VLOOKUP(G115,informatieblad!$A$37:$D$41,2,FALSE)</f>
        <v>0</v>
      </c>
      <c r="AD115" s="115">
        <f>VLOOKUP(G115,informatieblad!$A$37:$D$41,4,FALSE)</f>
        <v>0</v>
      </c>
      <c r="AE115" s="160">
        <f>(MAX(B113:C113))</f>
        <v>0</v>
      </c>
      <c r="AF115" s="161">
        <f>(MAX(AH115,AG115))</f>
        <v>0</v>
      </c>
      <c r="AG115" s="162">
        <f>ROUND((SQRT((((MAX(E113,F113))^2)+(K113^2)))),0)</f>
        <v>0</v>
      </c>
      <c r="AH115" s="163">
        <f>ROUND((SQRT((((MAX(G113,H113))^2)+(K113^2)))),0)</f>
        <v>0</v>
      </c>
      <c r="AI115" s="119">
        <f>LOOKUP(AE115,informatieblad!$C$27:$C$32,informatieblad!$A$27:$A$32)</f>
        <v>0.5</v>
      </c>
      <c r="AJ115" s="118">
        <f>VLOOKUP(AI115,informatieblad!$A$27:$M$32,6,FALSE)</f>
        <v>0</v>
      </c>
      <c r="AK115" s="118">
        <f>VLOOKUP(AI115,informatieblad!$A$27:$M$32,8,FALSE)</f>
        <v>45.1248</v>
      </c>
      <c r="AL115" s="120">
        <f>VLOOKUP(AI115,informatieblad!$A$27:$M$32,13,FALSE)</f>
        <v>4</v>
      </c>
      <c r="AM115" s="121">
        <f>ROUND((AL115*X115),1)</f>
        <v>0</v>
      </c>
      <c r="AO115" s="111">
        <f>(IF(B114=AO113,((2*B113)+(2*C113)),IF(B114=AO114,((2*B113)+(2*C113)),0)))*C115</f>
        <v>0</v>
      </c>
      <c r="AP115" s="111">
        <f>(IF(B114=AP113,((2*B113)+(2*C113)),IF(B114=AP114,((2*B113)+(2*C113)),0)))*C115</f>
        <v>0</v>
      </c>
      <c r="AQ115" s="261">
        <f>(IF(B114=AQ113,((2*B113)+(2*C113)),IF(B114=AQ114,((2*B113)+(2*C113)),0)))*C115</f>
        <v>0</v>
      </c>
      <c r="AR115" s="283">
        <f>(IF(B114=AR113,((2*B113)+(2*C113)),0))*C115</f>
        <v>0</v>
      </c>
      <c r="AT115" s="268">
        <f>K113*C115</f>
        <v>0</v>
      </c>
      <c r="AV115" s="83" t="str">
        <f>'UC mounting materials '!$B$11</f>
        <v>Rail 41x41</v>
      </c>
      <c r="AW115" s="268">
        <f>IF(AE115&gt;999,(AE115+100),0)*C115</f>
        <v>0</v>
      </c>
      <c r="AY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AZ115" s="276">
        <f>IF(AY115=AZ113,(4*C115),0)</f>
        <v>0</v>
      </c>
      <c r="BA115" s="274">
        <f>IF(AY115=BA113,(4*C115),0)</f>
        <v>0</v>
      </c>
    </row>
    <row r="116" spans="1:53" ht="5.0999999999999996" customHeight="1" thickBot="1">
      <c r="A116" s="145"/>
      <c r="B116" s="122"/>
      <c r="C116" s="122"/>
      <c r="D116" s="122"/>
      <c r="E116" s="122"/>
      <c r="F116" s="122"/>
      <c r="G116" s="122"/>
      <c r="H116" s="122"/>
      <c r="I116" s="122"/>
      <c r="J116" s="122"/>
      <c r="K116" s="146"/>
    </row>
    <row r="117" spans="1:53" ht="14.25" customHeight="1" thickBot="1">
      <c r="A117" s="445"/>
      <c r="B117" s="96"/>
      <c r="C117" s="96"/>
      <c r="D117" s="96"/>
      <c r="E117" s="96">
        <f>(B117-D117)/2</f>
        <v>0</v>
      </c>
      <c r="F117" s="167">
        <f>B117-D117-E117</f>
        <v>0</v>
      </c>
      <c r="G117" s="96">
        <f>(C117-D117)/2</f>
        <v>0</v>
      </c>
      <c r="H117" s="167">
        <f>C117-D117-G117</f>
        <v>0</v>
      </c>
      <c r="I117" s="300" t="str">
        <f>IF($B117&gt;0,$K$10,"")</f>
        <v/>
      </c>
      <c r="J117" s="300" t="str">
        <f>IF($B117&gt;0,$K$11,"")</f>
        <v/>
      </c>
      <c r="K117" s="178"/>
      <c r="L117" s="345" t="s">
        <v>20</v>
      </c>
      <c r="U117" s="97" t="s">
        <v>14</v>
      </c>
      <c r="V117" s="98" t="s">
        <v>27</v>
      </c>
      <c r="W117" s="98" t="s">
        <v>28</v>
      </c>
      <c r="X117" s="98" t="s">
        <v>27</v>
      </c>
      <c r="Y117" s="98" t="s">
        <v>28</v>
      </c>
      <c r="Z117" s="98" t="s">
        <v>29</v>
      </c>
      <c r="AA117" s="66" t="s">
        <v>30</v>
      </c>
      <c r="AB117" s="153" t="s">
        <v>31</v>
      </c>
      <c r="AC117" s="153"/>
      <c r="AD117" s="153"/>
      <c r="AE117" s="100" t="s">
        <v>83</v>
      </c>
      <c r="AF117" s="98" t="s">
        <v>84</v>
      </c>
      <c r="AG117" s="98" t="s">
        <v>93</v>
      </c>
      <c r="AH117" s="100" t="s">
        <v>94</v>
      </c>
      <c r="AI117" s="100" t="s">
        <v>34</v>
      </c>
      <c r="AJ117" s="98" t="s">
        <v>32</v>
      </c>
      <c r="AK117" s="98" t="s">
        <v>32</v>
      </c>
      <c r="AL117" s="98" t="s">
        <v>50</v>
      </c>
      <c r="AM117" s="101" t="s">
        <v>36</v>
      </c>
      <c r="AO117" s="97" t="str">
        <f>informatieblad!$A$6</f>
        <v>FL20</v>
      </c>
      <c r="AP117" s="97" t="str">
        <f>informatieblad!$A$7</f>
        <v>FL30</v>
      </c>
      <c r="AQ117" s="99" t="str">
        <f>informatieblad!$A$8</f>
        <v>FL40</v>
      </c>
      <c r="AR117" s="266" t="str">
        <f>informatieblad!$A$5</f>
        <v>none</v>
      </c>
      <c r="AT117" s="266" t="s">
        <v>17</v>
      </c>
      <c r="AW117" s="266" t="s">
        <v>37</v>
      </c>
      <c r="AY117" s="269" t="s">
        <v>38</v>
      </c>
      <c r="AZ117" s="272">
        <f>informatieblad!$B$3</f>
        <v>0</v>
      </c>
      <c r="BA117" s="264">
        <f>informatieblad!$B$4</f>
        <v>0</v>
      </c>
    </row>
    <row r="118" spans="1:53" ht="14.25" customHeight="1">
      <c r="A118" s="481"/>
      <c r="B118" s="482" t="str">
        <f>IF($C119&gt;0,IF(MAX(B117:C117)&lt;informatieblad!$Q$4,informatieblad!$P$3,IF(MAX(B117:C117)&gt;informatieblad!$R$4,informatieblad!$P$5,informatieblad!$P$4)),"")</f>
        <v/>
      </c>
      <c r="C118" s="483"/>
      <c r="D118" s="303" t="str">
        <f>A117&amp;"-"&amp;informatieblad!$B$15&amp;"-"&amp;B117&amp;"-"&amp;C117&amp;"-"&amp;D117&amp;"-"&amp;E117&amp;"-"&amp;F117&amp;"-"&amp;G117&amp;"-"&amp;H117&amp;"-"&amp;I117&amp;"-"&amp;J117&amp;"-"&amp;K117&amp;"-"&amp;B118&amp;"-"&amp;G119</f>
        <v>-RctRR----0-0-0-0-----Options None</v>
      </c>
      <c r="E118" s="174"/>
      <c r="F118" s="174"/>
      <c r="G118" s="174"/>
      <c r="H118" s="469" t="s">
        <v>82</v>
      </c>
      <c r="I118" s="470"/>
      <c r="J118" s="470"/>
      <c r="K118" s="191" t="str">
        <f>(IF($C119&gt;0,(IF(MAX((MAX(B117,C117)-D117)/2,(D117-MAX(B117,C117)))*1.732&gt;270,MAX((MAX(B117,C117)-D117)/2,(D238-MAX(B117,C117)))*1.732,270)+30),""))</f>
        <v/>
      </c>
      <c r="L118" s="83"/>
      <c r="U118" s="103">
        <f>A117</f>
        <v>0</v>
      </c>
      <c r="V118" s="104" t="s">
        <v>39</v>
      </c>
      <c r="W118" s="104" t="s">
        <v>39</v>
      </c>
      <c r="X118" s="104" t="s">
        <v>40</v>
      </c>
      <c r="Y118" s="104" t="s">
        <v>40</v>
      </c>
      <c r="Z118" s="104" t="s">
        <v>40</v>
      </c>
      <c r="AA118" s="105"/>
      <c r="AB118" s="155" t="s">
        <v>27</v>
      </c>
      <c r="AC118" s="155" t="s">
        <v>40</v>
      </c>
      <c r="AD118" s="155" t="s">
        <v>41</v>
      </c>
      <c r="AE118" s="104"/>
      <c r="AG118" s="136" t="s">
        <v>15</v>
      </c>
      <c r="AH118" s="136" t="s">
        <v>16</v>
      </c>
      <c r="AI118" s="107"/>
      <c r="AJ118" s="104" t="s">
        <v>40</v>
      </c>
      <c r="AK118" s="104" t="s">
        <v>41</v>
      </c>
      <c r="AL118" s="108"/>
      <c r="AM118" s="109"/>
      <c r="AO118" s="262" t="str">
        <f>informatieblad!$A$2</f>
        <v>FL20 loose</v>
      </c>
      <c r="AP118" s="262" t="str">
        <f>informatieblad!$A$3</f>
        <v>FL30 loose</v>
      </c>
      <c r="AQ118" s="263" t="str">
        <f>informatieblad!$A$4</f>
        <v>FL40 loose</v>
      </c>
      <c r="AR118" s="282"/>
      <c r="AT118" s="267"/>
      <c r="AV118" s="83" t="str">
        <f>'UC mounting materials '!$B$10</f>
        <v>Rail 30x15</v>
      </c>
      <c r="AW118" s="327">
        <f>IF(AE119&lt;1000,(AE119+100),0)*C119</f>
        <v>0</v>
      </c>
      <c r="AY118" s="265" t="s">
        <v>47</v>
      </c>
      <c r="AZ118" s="83" t="s">
        <v>23</v>
      </c>
      <c r="BA118" s="273" t="s">
        <v>23</v>
      </c>
    </row>
    <row r="119" spans="1:53" ht="14.25" customHeight="1" thickBot="1">
      <c r="A119" s="476"/>
      <c r="B119" s="186" t="s">
        <v>23</v>
      </c>
      <c r="C119" s="110"/>
      <c r="D119" s="139"/>
      <c r="E119" s="94">
        <f>C119*W119</f>
        <v>0</v>
      </c>
      <c r="F119" s="141" t="s">
        <v>24</v>
      </c>
      <c r="G119" s="451" t="s">
        <v>25</v>
      </c>
      <c r="H119" s="484"/>
      <c r="I119" s="484"/>
      <c r="J119" s="484"/>
      <c r="K119" s="485"/>
      <c r="L119" s="176"/>
      <c r="U119" s="111"/>
      <c r="V119" s="112">
        <f>ROUND((((2*(B117+C117))*AF119)/1000000),2)</f>
        <v>0</v>
      </c>
      <c r="W119" s="158">
        <f>((IF(V119&lt;=informatieblad!$I$15,informatieblad!$I$15,IF(V119&gt;=informatieblad!$I$15,V119))))</f>
        <v>1</v>
      </c>
      <c r="X119" s="112">
        <f>ROUND((((2*(B117+C117))*AF119)/1000000),2)</f>
        <v>0</v>
      </c>
      <c r="Y119" s="112">
        <f>((IF(X119&lt;=informatieblad!$H$15,informatieblad!$H$15,IF(X119&gt;=informatieblad!$H$15,X119))))</f>
        <v>0</v>
      </c>
      <c r="Z119" s="113">
        <f>((Y119*AJ119)+(Y119*AC119))*C119</f>
        <v>0</v>
      </c>
      <c r="AA119" s="114">
        <f>((W119*AK119)+(W119*AD119))*C119</f>
        <v>0</v>
      </c>
      <c r="AB119" s="115" t="str">
        <f>G119</f>
        <v>Options None</v>
      </c>
      <c r="AC119" s="115">
        <f>VLOOKUP(G119,informatieblad!$A$37:$D$41,2,FALSE)</f>
        <v>0</v>
      </c>
      <c r="AD119" s="115">
        <f>VLOOKUP(G119,informatieblad!$A$37:$D$41,4,FALSE)</f>
        <v>0</v>
      </c>
      <c r="AE119" s="160">
        <f>(MAX(B117:C117))</f>
        <v>0</v>
      </c>
      <c r="AF119" s="161">
        <f>(MAX(AH119,AG119))</f>
        <v>0</v>
      </c>
      <c r="AG119" s="162">
        <f>ROUND((SQRT((((MAX(E117,F117))^2)+(K117^2)))),0)</f>
        <v>0</v>
      </c>
      <c r="AH119" s="163">
        <f>ROUND((SQRT((((MAX(G117,H117))^2)+(K117^2)))),0)</f>
        <v>0</v>
      </c>
      <c r="AI119" s="119">
        <f>LOOKUP(AE119,informatieblad!$C$27:$C$32,informatieblad!$A$27:$A$32)</f>
        <v>0.5</v>
      </c>
      <c r="AJ119" s="118">
        <f>VLOOKUP(AI119,informatieblad!$A$27:$M$32,6,FALSE)</f>
        <v>0</v>
      </c>
      <c r="AK119" s="118">
        <f>VLOOKUP(AI119,informatieblad!$A$27:$M$32,8,FALSE)</f>
        <v>45.1248</v>
      </c>
      <c r="AL119" s="120">
        <f>VLOOKUP(AI119,informatieblad!$A$27:$M$32,13,FALSE)</f>
        <v>4</v>
      </c>
      <c r="AM119" s="121">
        <f>ROUND((AL119*X119),1)</f>
        <v>0</v>
      </c>
      <c r="AO119" s="111">
        <f>(IF(B118=AO117,((2*B117)+(2*C117)),IF(B118=AO118,((2*B117)+(2*C117)),0)))*C119</f>
        <v>0</v>
      </c>
      <c r="AP119" s="111">
        <f>(IF(B118=AP117,((2*B117)+(2*C117)),IF(B118=AP118,((2*B117)+(2*C117)),0)))*C119</f>
        <v>0</v>
      </c>
      <c r="AQ119" s="261">
        <f>(IF(B118=AQ117,((2*B117)+(2*C117)),IF(B118=AQ118,((2*B117)+(2*C117)),0)))*C119</f>
        <v>0</v>
      </c>
      <c r="AR119" s="283">
        <f>(IF(B118=AR117,((2*B117)+(2*C117)),0))*C119</f>
        <v>0</v>
      </c>
      <c r="AT119" s="268">
        <f>K117*C119</f>
        <v>0</v>
      </c>
      <c r="AV119" s="83" t="str">
        <f>'UC mounting materials '!$B$11</f>
        <v>Rail 41x41</v>
      </c>
      <c r="AW119" s="268">
        <f>IF(AE119&gt;999,(AE119+100),0)*C119</f>
        <v>0</v>
      </c>
      <c r="AY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AZ119" s="276">
        <f>IF(AY119=AZ117,(4*C119),0)</f>
        <v>0</v>
      </c>
      <c r="BA119" s="274">
        <f>IF(AY119=BA117,(4*C119),0)</f>
        <v>0</v>
      </c>
    </row>
    <row r="120" spans="1:53" ht="5.0999999999999996" customHeight="1" thickBot="1">
      <c r="A120" s="145"/>
      <c r="B120" s="122"/>
      <c r="C120" s="122"/>
      <c r="D120" s="122"/>
      <c r="E120" s="122"/>
      <c r="F120" s="122"/>
      <c r="G120" s="122"/>
      <c r="H120" s="122"/>
      <c r="I120" s="122"/>
      <c r="J120" s="122"/>
      <c r="K120" s="146"/>
    </row>
    <row r="121" spans="1:53" ht="14.25" customHeight="1" thickBot="1">
      <c r="A121" s="445"/>
      <c r="B121" s="96"/>
      <c r="C121" s="96"/>
      <c r="D121" s="96"/>
      <c r="E121" s="96">
        <f>(B121-D121)/2</f>
        <v>0</v>
      </c>
      <c r="F121" s="167">
        <f>B121-D121-E121</f>
        <v>0</v>
      </c>
      <c r="G121" s="96">
        <f>(C121-D121)/2</f>
        <v>0</v>
      </c>
      <c r="H121" s="167">
        <f>C121-D121-G121</f>
        <v>0</v>
      </c>
      <c r="I121" s="300" t="str">
        <f>IF($B121&gt;0,$K$10,"")</f>
        <v/>
      </c>
      <c r="J121" s="300" t="str">
        <f>IF($B121&gt;0,$K$11,"")</f>
        <v/>
      </c>
      <c r="K121" s="178"/>
      <c r="L121" s="345" t="s">
        <v>20</v>
      </c>
      <c r="U121" s="97" t="s">
        <v>14</v>
      </c>
      <c r="V121" s="98" t="s">
        <v>27</v>
      </c>
      <c r="W121" s="98" t="s">
        <v>28</v>
      </c>
      <c r="X121" s="98" t="s">
        <v>27</v>
      </c>
      <c r="Y121" s="98" t="s">
        <v>28</v>
      </c>
      <c r="Z121" s="98" t="s">
        <v>29</v>
      </c>
      <c r="AA121" s="66" t="s">
        <v>30</v>
      </c>
      <c r="AB121" s="153" t="s">
        <v>31</v>
      </c>
      <c r="AC121" s="153"/>
      <c r="AD121" s="153"/>
      <c r="AE121" s="100" t="s">
        <v>83</v>
      </c>
      <c r="AF121" s="98" t="s">
        <v>84</v>
      </c>
      <c r="AG121" s="98" t="s">
        <v>93</v>
      </c>
      <c r="AH121" s="100" t="s">
        <v>94</v>
      </c>
      <c r="AI121" s="100" t="s">
        <v>34</v>
      </c>
      <c r="AJ121" s="98" t="s">
        <v>32</v>
      </c>
      <c r="AK121" s="98" t="s">
        <v>32</v>
      </c>
      <c r="AL121" s="98" t="s">
        <v>50</v>
      </c>
      <c r="AM121" s="101" t="s">
        <v>36</v>
      </c>
      <c r="AO121" s="97" t="str">
        <f>informatieblad!$A$6</f>
        <v>FL20</v>
      </c>
      <c r="AP121" s="97" t="str">
        <f>informatieblad!$A$7</f>
        <v>FL30</v>
      </c>
      <c r="AQ121" s="99" t="str">
        <f>informatieblad!$A$8</f>
        <v>FL40</v>
      </c>
      <c r="AR121" s="266" t="str">
        <f>informatieblad!$A$5</f>
        <v>none</v>
      </c>
      <c r="AT121" s="266" t="s">
        <v>17</v>
      </c>
      <c r="AW121" s="266" t="s">
        <v>37</v>
      </c>
      <c r="AY121" s="269" t="s">
        <v>38</v>
      </c>
      <c r="AZ121" s="272">
        <f>informatieblad!$B$3</f>
        <v>0</v>
      </c>
      <c r="BA121" s="264">
        <f>informatieblad!$B$4</f>
        <v>0</v>
      </c>
    </row>
    <row r="122" spans="1:53" ht="14.25" customHeight="1">
      <c r="A122" s="481"/>
      <c r="B122" s="482" t="str">
        <f>IF($C123&gt;0,IF(MAX(B121:C121)&lt;informatieblad!$Q$4,informatieblad!$P$3,IF(MAX(B121:C121)&gt;informatieblad!$R$4,informatieblad!$P$5,informatieblad!$P$4)),"")</f>
        <v/>
      </c>
      <c r="C122" s="483"/>
      <c r="D122" s="190" t="str">
        <f>A121&amp;"-"&amp;informatieblad!$B$15&amp;"-"&amp;B121&amp;"-"&amp;C121&amp;"-"&amp;D121&amp;"-"&amp;E121&amp;"-"&amp;F121&amp;"-"&amp;G121&amp;"-"&amp;H121&amp;"-"&amp;I121&amp;"-"&amp;J121&amp;"-"&amp;K121&amp;"-"&amp;B122&amp;"-"&amp;G123</f>
        <v>-RctRR----0-0-0-0-----Options None</v>
      </c>
      <c r="E122" s="174"/>
      <c r="F122" s="174"/>
      <c r="G122" s="174"/>
      <c r="H122" s="469" t="s">
        <v>82</v>
      </c>
      <c r="I122" s="470"/>
      <c r="J122" s="470"/>
      <c r="K122" s="191" t="str">
        <f>(IF($C123&gt;0,(IF(MAX((MAX(B121,C121)-D121)/2,(D121-MAX(B121,C121)))*1.732&gt;270,MAX((MAX(B121,C121)-D121)/2,(D242-MAX(B121,C121)))*1.732,270)+30),""))</f>
        <v/>
      </c>
      <c r="L122" s="83"/>
      <c r="U122" s="103">
        <f>A121</f>
        <v>0</v>
      </c>
      <c r="V122" s="104" t="s">
        <v>39</v>
      </c>
      <c r="W122" s="104" t="s">
        <v>39</v>
      </c>
      <c r="X122" s="104" t="s">
        <v>40</v>
      </c>
      <c r="Y122" s="104" t="s">
        <v>40</v>
      </c>
      <c r="Z122" s="104" t="s">
        <v>40</v>
      </c>
      <c r="AA122" s="105"/>
      <c r="AB122" s="155" t="s">
        <v>27</v>
      </c>
      <c r="AC122" s="155" t="s">
        <v>40</v>
      </c>
      <c r="AD122" s="155" t="s">
        <v>41</v>
      </c>
      <c r="AE122" s="104"/>
      <c r="AG122" s="136" t="s">
        <v>15</v>
      </c>
      <c r="AH122" s="136" t="s">
        <v>16</v>
      </c>
      <c r="AI122" s="107"/>
      <c r="AJ122" s="104" t="s">
        <v>40</v>
      </c>
      <c r="AK122" s="104" t="s">
        <v>41</v>
      </c>
      <c r="AL122" s="108"/>
      <c r="AM122" s="109"/>
      <c r="AO122" s="262" t="str">
        <f>informatieblad!$A$2</f>
        <v>FL20 loose</v>
      </c>
      <c r="AP122" s="262" t="str">
        <f>informatieblad!$A$3</f>
        <v>FL30 loose</v>
      </c>
      <c r="AQ122" s="263" t="str">
        <f>informatieblad!$A$4</f>
        <v>FL40 loose</v>
      </c>
      <c r="AR122" s="282"/>
      <c r="AT122" s="267"/>
      <c r="AV122" s="83" t="str">
        <f>'UC mounting materials '!$B$10</f>
        <v>Rail 30x15</v>
      </c>
      <c r="AW122" s="327">
        <f>IF(AE123&lt;1000,(AE123+100),0)*C123</f>
        <v>0</v>
      </c>
      <c r="AY122" s="265" t="s">
        <v>47</v>
      </c>
      <c r="AZ122" s="83" t="s">
        <v>23</v>
      </c>
      <c r="BA122" s="273" t="s">
        <v>23</v>
      </c>
    </row>
    <row r="123" spans="1:53" ht="14.25" customHeight="1" thickBot="1">
      <c r="A123" s="476"/>
      <c r="B123" s="186" t="s">
        <v>23</v>
      </c>
      <c r="C123" s="110"/>
      <c r="D123" s="139"/>
      <c r="E123" s="94">
        <f>C123*W123</f>
        <v>0</v>
      </c>
      <c r="F123" s="141" t="s">
        <v>24</v>
      </c>
      <c r="G123" s="451" t="s">
        <v>25</v>
      </c>
      <c r="H123" s="484"/>
      <c r="I123" s="484"/>
      <c r="J123" s="484"/>
      <c r="K123" s="485"/>
      <c r="L123" s="176"/>
      <c r="U123" s="111"/>
      <c r="V123" s="112">
        <f>ROUND((((2*(B121+C121))*AF123)/1000000),2)</f>
        <v>0</v>
      </c>
      <c r="W123" s="158">
        <f>((IF(V123&lt;=informatieblad!$I$15,informatieblad!$I$15,IF(V123&gt;=informatieblad!$I$15,V123))))</f>
        <v>1</v>
      </c>
      <c r="X123" s="112">
        <f>ROUND((((2*(B121+C121))*AF123)/1000000),2)</f>
        <v>0</v>
      </c>
      <c r="Y123" s="112">
        <f>((IF(X123&lt;=informatieblad!$H$15,informatieblad!$H$15,IF(X123&gt;=informatieblad!$H$15,X123))))</f>
        <v>0</v>
      </c>
      <c r="Z123" s="113">
        <f>((Y123*AJ123)+(Y123*AC123))*C123</f>
        <v>0</v>
      </c>
      <c r="AA123" s="114">
        <f>((W123*AK123)+(W123*AD123))*C123</f>
        <v>0</v>
      </c>
      <c r="AB123" s="115" t="str">
        <f>G123</f>
        <v>Options None</v>
      </c>
      <c r="AC123" s="115">
        <f>VLOOKUP(G123,informatieblad!$A$37:$D$41,2,FALSE)</f>
        <v>0</v>
      </c>
      <c r="AD123" s="115">
        <f>VLOOKUP(G123,informatieblad!$A$37:$D$41,4,FALSE)</f>
        <v>0</v>
      </c>
      <c r="AE123" s="160">
        <f>(MAX(B121:C121))</f>
        <v>0</v>
      </c>
      <c r="AF123" s="161">
        <f>(MAX(AH123,AG123))</f>
        <v>0</v>
      </c>
      <c r="AG123" s="162">
        <f>ROUND((SQRT((((MAX(E121,F121))^2)+(K121^2)))),0)</f>
        <v>0</v>
      </c>
      <c r="AH123" s="163">
        <f>ROUND((SQRT((((MAX(G121,H121))^2)+(K121^2)))),0)</f>
        <v>0</v>
      </c>
      <c r="AI123" s="119">
        <f>LOOKUP(AE123,informatieblad!$C$27:$C$32,informatieblad!$A$27:$A$32)</f>
        <v>0.5</v>
      </c>
      <c r="AJ123" s="118">
        <f>VLOOKUP(AI123,informatieblad!$A$27:$M$32,6,FALSE)</f>
        <v>0</v>
      </c>
      <c r="AK123" s="118">
        <f>VLOOKUP(AI123,informatieblad!$A$27:$M$32,8,FALSE)</f>
        <v>45.1248</v>
      </c>
      <c r="AL123" s="120">
        <f>VLOOKUP(AI123,informatieblad!$A$27:$M$32,13,FALSE)</f>
        <v>4</v>
      </c>
      <c r="AM123" s="121">
        <f>ROUND((AL123*X123),1)</f>
        <v>0</v>
      </c>
      <c r="AO123" s="111">
        <f>(IF(B122=AO121,((2*B121)+(2*C121)),IF(B122=AO122,((2*B121)+(2*C121)),0)))*C123</f>
        <v>0</v>
      </c>
      <c r="AP123" s="111">
        <f>(IF(B122=AP121,((2*B121)+(2*C121)),IF(B122=AP122,((2*B121)+(2*C121)),0)))*C123</f>
        <v>0</v>
      </c>
      <c r="AQ123" s="261">
        <f>(IF(B122=AQ121,((2*B121)+(2*C121)),IF(B122=AQ122,((2*B121)+(2*C121)),0)))*C123</f>
        <v>0</v>
      </c>
      <c r="AR123" s="283">
        <f>(IF(B122=AR121,((2*B121)+(2*C121)),0))*C123</f>
        <v>0</v>
      </c>
      <c r="AT123" s="268">
        <f>K121*C123</f>
        <v>0</v>
      </c>
      <c r="AV123" s="83" t="str">
        <f>'UC mounting materials '!$B$11</f>
        <v>Rail 41x41</v>
      </c>
      <c r="AW123" s="268">
        <f>IF(AE123&gt;999,(AE123+100),0)*C123</f>
        <v>0</v>
      </c>
      <c r="AY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AZ123" s="276">
        <f>IF(AY123=AZ121,(4*C123),0)</f>
        <v>0</v>
      </c>
      <c r="BA123" s="274">
        <f>IF(AY123=BA121,(4*C123),0)</f>
        <v>0</v>
      </c>
    </row>
    <row r="124" spans="1:53" ht="5.0999999999999996" customHeight="1" thickBot="1">
      <c r="A124" s="145"/>
      <c r="B124" s="122"/>
      <c r="C124" s="122"/>
      <c r="D124" s="122"/>
      <c r="E124" s="122"/>
      <c r="F124" s="122"/>
      <c r="G124" s="122"/>
      <c r="H124" s="122"/>
      <c r="I124" s="122"/>
      <c r="J124" s="122"/>
      <c r="K124" s="146"/>
    </row>
    <row r="125" spans="1:53" ht="14.25" customHeight="1" thickBot="1">
      <c r="A125" s="445"/>
      <c r="B125" s="96"/>
      <c r="C125" s="96"/>
      <c r="D125" s="96"/>
      <c r="E125" s="96">
        <f>(B125-D125)/2</f>
        <v>0</v>
      </c>
      <c r="F125" s="167">
        <f>B125-D125-E125</f>
        <v>0</v>
      </c>
      <c r="G125" s="96">
        <f>(C125-D125)/2</f>
        <v>0</v>
      </c>
      <c r="H125" s="167">
        <f>C125-D125-G125</f>
        <v>0</v>
      </c>
      <c r="I125" s="300" t="str">
        <f>IF($B125&gt;0,$K$10,"")</f>
        <v/>
      </c>
      <c r="J125" s="300" t="str">
        <f>IF($B125&gt;0,$K$11,"")</f>
        <v/>
      </c>
      <c r="K125" s="178"/>
      <c r="L125" s="345" t="s">
        <v>20</v>
      </c>
      <c r="U125" s="97" t="s">
        <v>14</v>
      </c>
      <c r="V125" s="98" t="s">
        <v>27</v>
      </c>
      <c r="W125" s="98" t="s">
        <v>28</v>
      </c>
      <c r="X125" s="98" t="s">
        <v>27</v>
      </c>
      <c r="Y125" s="98" t="s">
        <v>28</v>
      </c>
      <c r="Z125" s="98" t="s">
        <v>29</v>
      </c>
      <c r="AA125" s="66" t="s">
        <v>30</v>
      </c>
      <c r="AB125" s="153" t="s">
        <v>31</v>
      </c>
      <c r="AC125" s="153"/>
      <c r="AD125" s="153"/>
      <c r="AE125" s="100" t="s">
        <v>83</v>
      </c>
      <c r="AF125" s="98" t="s">
        <v>84</v>
      </c>
      <c r="AG125" s="98" t="s">
        <v>93</v>
      </c>
      <c r="AH125" s="100" t="s">
        <v>94</v>
      </c>
      <c r="AI125" s="100" t="s">
        <v>34</v>
      </c>
      <c r="AJ125" s="98" t="s">
        <v>32</v>
      </c>
      <c r="AK125" s="98" t="s">
        <v>32</v>
      </c>
      <c r="AL125" s="98" t="s">
        <v>50</v>
      </c>
      <c r="AM125" s="101" t="s">
        <v>36</v>
      </c>
      <c r="AO125" s="97" t="str">
        <f>informatieblad!$A$6</f>
        <v>FL20</v>
      </c>
      <c r="AP125" s="97" t="str">
        <f>informatieblad!$A$7</f>
        <v>FL30</v>
      </c>
      <c r="AQ125" s="99" t="str">
        <f>informatieblad!$A$8</f>
        <v>FL40</v>
      </c>
      <c r="AR125" s="266" t="str">
        <f>informatieblad!$A$5</f>
        <v>none</v>
      </c>
      <c r="AT125" s="266" t="s">
        <v>17</v>
      </c>
      <c r="AW125" s="266" t="s">
        <v>37</v>
      </c>
      <c r="AY125" s="269" t="s">
        <v>38</v>
      </c>
      <c r="AZ125" s="272">
        <f>informatieblad!$B$3</f>
        <v>0</v>
      </c>
      <c r="BA125" s="264">
        <f>informatieblad!$B$4</f>
        <v>0</v>
      </c>
    </row>
    <row r="126" spans="1:53" ht="14.25" customHeight="1">
      <c r="A126" s="481"/>
      <c r="B126" s="482" t="str">
        <f>IF($C127&gt;0,IF(MAX(B125:C125)&lt;informatieblad!$Q$4,informatieblad!$P$3,IF(MAX(B125:C125)&gt;informatieblad!$R$4,informatieblad!$P$5,informatieblad!$P$4)),"")</f>
        <v/>
      </c>
      <c r="C126" s="483"/>
      <c r="D126" s="303" t="str">
        <f>A125&amp;"-"&amp;informatieblad!$B$15&amp;"-"&amp;B125&amp;"-"&amp;C125&amp;"-"&amp;D125&amp;"-"&amp;E125&amp;"-"&amp;F125&amp;"-"&amp;G125&amp;"-"&amp;H125&amp;"-"&amp;I125&amp;"-"&amp;J125&amp;"-"&amp;K125&amp;"-"&amp;B126&amp;"-"&amp;G127</f>
        <v>-RctRR----0-0-0-0-----Options None</v>
      </c>
      <c r="E126" s="174"/>
      <c r="F126" s="174"/>
      <c r="G126" s="174"/>
      <c r="H126" s="469" t="s">
        <v>82</v>
      </c>
      <c r="I126" s="470"/>
      <c r="J126" s="470"/>
      <c r="K126" s="191" t="str">
        <f>(IF($C127&gt;0,(IF(MAX((MAX(B125,C125)-D125)/2,(D125-MAX(B125,C125)))*1.732&gt;270,MAX((MAX(B125,C125)-D125)/2,(D246-MAX(B125,C125)))*1.732,270)+30),""))</f>
        <v/>
      </c>
      <c r="L126" s="83"/>
      <c r="U126" s="103">
        <f>A125</f>
        <v>0</v>
      </c>
      <c r="V126" s="104" t="s">
        <v>39</v>
      </c>
      <c r="W126" s="104" t="s">
        <v>39</v>
      </c>
      <c r="X126" s="104" t="s">
        <v>40</v>
      </c>
      <c r="Y126" s="104" t="s">
        <v>40</v>
      </c>
      <c r="Z126" s="104" t="s">
        <v>40</v>
      </c>
      <c r="AA126" s="105"/>
      <c r="AB126" s="155" t="s">
        <v>27</v>
      </c>
      <c r="AC126" s="155" t="s">
        <v>40</v>
      </c>
      <c r="AD126" s="155" t="s">
        <v>41</v>
      </c>
      <c r="AE126" s="104"/>
      <c r="AG126" s="136" t="s">
        <v>15</v>
      </c>
      <c r="AH126" s="136" t="s">
        <v>16</v>
      </c>
      <c r="AI126" s="107"/>
      <c r="AJ126" s="104" t="s">
        <v>40</v>
      </c>
      <c r="AK126" s="104" t="s">
        <v>41</v>
      </c>
      <c r="AL126" s="108"/>
      <c r="AM126" s="109"/>
      <c r="AO126" s="262" t="str">
        <f>informatieblad!$A$2</f>
        <v>FL20 loose</v>
      </c>
      <c r="AP126" s="262" t="str">
        <f>informatieblad!$A$3</f>
        <v>FL30 loose</v>
      </c>
      <c r="AQ126" s="263" t="str">
        <f>informatieblad!$A$4</f>
        <v>FL40 loose</v>
      </c>
      <c r="AR126" s="282"/>
      <c r="AT126" s="267"/>
      <c r="AV126" s="83" t="str">
        <f>'UC mounting materials '!$B$10</f>
        <v>Rail 30x15</v>
      </c>
      <c r="AW126" s="327">
        <f>IF(AE127&lt;1000,(AE127+100),0)*C127</f>
        <v>0</v>
      </c>
      <c r="AY126" s="265" t="s">
        <v>47</v>
      </c>
      <c r="AZ126" s="83" t="s">
        <v>23</v>
      </c>
      <c r="BA126" s="273" t="s">
        <v>23</v>
      </c>
    </row>
    <row r="127" spans="1:53" ht="14.25" customHeight="1" thickBot="1">
      <c r="A127" s="476"/>
      <c r="B127" s="186" t="s">
        <v>23</v>
      </c>
      <c r="C127" s="110"/>
      <c r="D127" s="139"/>
      <c r="E127" s="94">
        <f>C127*W127</f>
        <v>0</v>
      </c>
      <c r="F127" s="141" t="s">
        <v>24</v>
      </c>
      <c r="G127" s="451" t="s">
        <v>25</v>
      </c>
      <c r="H127" s="484"/>
      <c r="I127" s="484"/>
      <c r="J127" s="484"/>
      <c r="K127" s="485"/>
      <c r="L127" s="176"/>
      <c r="U127" s="111"/>
      <c r="V127" s="112">
        <f>ROUND((((2*(B125+C125))*AF127)/1000000),2)</f>
        <v>0</v>
      </c>
      <c r="W127" s="158">
        <f>((IF(V127&lt;=informatieblad!$I$15,informatieblad!$I$15,IF(V127&gt;=informatieblad!$I$15,V127))))</f>
        <v>1</v>
      </c>
      <c r="X127" s="112">
        <f>ROUND((((2*(B125+C125))*AF127)/1000000),2)</f>
        <v>0</v>
      </c>
      <c r="Y127" s="112">
        <f>((IF(X127&lt;=informatieblad!$H$15,informatieblad!$H$15,IF(X127&gt;=informatieblad!$H$15,X127))))</f>
        <v>0</v>
      </c>
      <c r="Z127" s="113">
        <f>((Y127*AJ127)+(Y127*AC127))*C127</f>
        <v>0</v>
      </c>
      <c r="AA127" s="114">
        <f>((W127*AK127)+(W127*AD127))*C127</f>
        <v>0</v>
      </c>
      <c r="AB127" s="115" t="str">
        <f>G127</f>
        <v>Options None</v>
      </c>
      <c r="AC127" s="115">
        <f>VLOOKUP(G127,informatieblad!$A$37:$D$41,2,FALSE)</f>
        <v>0</v>
      </c>
      <c r="AD127" s="115">
        <f>VLOOKUP(G127,informatieblad!$A$37:$D$41,4,FALSE)</f>
        <v>0</v>
      </c>
      <c r="AE127" s="160">
        <f>(MAX(B125:C125))</f>
        <v>0</v>
      </c>
      <c r="AF127" s="161">
        <f>(MAX(AH127,AG127))</f>
        <v>0</v>
      </c>
      <c r="AG127" s="162">
        <f>ROUND((SQRT((((MAX(E125,F125))^2)+(K125^2)))),0)</f>
        <v>0</v>
      </c>
      <c r="AH127" s="163">
        <f>ROUND((SQRT((((MAX(G125,H125))^2)+(K125^2)))),0)</f>
        <v>0</v>
      </c>
      <c r="AI127" s="119">
        <f>LOOKUP(AE127,informatieblad!$C$27:$C$32,informatieblad!$A$27:$A$32)</f>
        <v>0.5</v>
      </c>
      <c r="AJ127" s="118">
        <f>VLOOKUP(AI127,informatieblad!$A$27:$M$32,6,FALSE)</f>
        <v>0</v>
      </c>
      <c r="AK127" s="118">
        <f>VLOOKUP(AI127,informatieblad!$A$27:$M$32,8,FALSE)</f>
        <v>45.1248</v>
      </c>
      <c r="AL127" s="120">
        <f>VLOOKUP(AI127,informatieblad!$A$27:$M$32,13,FALSE)</f>
        <v>4</v>
      </c>
      <c r="AM127" s="121">
        <f>ROUND((AL127*X127),1)</f>
        <v>0</v>
      </c>
      <c r="AO127" s="111">
        <f>(IF(B126=AO125,((2*B125)+(2*C125)),IF(B126=AO126,((2*B125)+(2*C125)),0)))*C127</f>
        <v>0</v>
      </c>
      <c r="AP127" s="111">
        <f>(IF(B126=AP125,((2*B125)+(2*C125)),IF(B126=AP126,((2*B125)+(2*C125)),0)))*C127</f>
        <v>0</v>
      </c>
      <c r="AQ127" s="261">
        <f>(IF(B126=AQ125,((2*B125)+(2*C125)),IF(B126=AQ126,((2*B125)+(2*C125)),0)))*C127</f>
        <v>0</v>
      </c>
      <c r="AR127" s="283">
        <f>(IF(B126=AR125,((2*B125)+(2*C125)),0))*C127</f>
        <v>0</v>
      </c>
      <c r="AT127" s="268">
        <f>K125*C127</f>
        <v>0</v>
      </c>
      <c r="AV127" s="83" t="str">
        <f>'UC mounting materials '!$B$11</f>
        <v>Rail 41x41</v>
      </c>
      <c r="AW127" s="268">
        <f>IF(AE127&gt;999,(AE127+100),0)*C127</f>
        <v>0</v>
      </c>
      <c r="AY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AZ127" s="276">
        <f>IF(AY127=AZ125,(4*C127),0)</f>
        <v>0</v>
      </c>
      <c r="BA127" s="274">
        <f>IF(AY127=BA125,(4*C127),0)</f>
        <v>0</v>
      </c>
    </row>
    <row r="128" spans="1:53" ht="14.25" customHeight="1" thickBot="1">
      <c r="A128" s="145"/>
      <c r="B128" s="122"/>
      <c r="C128" s="122"/>
      <c r="D128" s="122"/>
      <c r="E128" s="122"/>
      <c r="F128" s="122"/>
      <c r="G128" s="122"/>
      <c r="H128" s="122"/>
      <c r="I128" s="122"/>
      <c r="J128" s="122"/>
      <c r="K128" s="146"/>
    </row>
    <row r="129" spans="1:53" ht="14.25" customHeight="1" thickBot="1">
      <c r="A129" s="445"/>
      <c r="B129" s="96"/>
      <c r="C129" s="96"/>
      <c r="D129" s="96"/>
      <c r="E129" s="96">
        <f>(B129-D129)/2</f>
        <v>0</v>
      </c>
      <c r="F129" s="167">
        <f>B129-D129-E129</f>
        <v>0</v>
      </c>
      <c r="G129" s="96">
        <f>(C129-D129)/2</f>
        <v>0</v>
      </c>
      <c r="H129" s="167">
        <f>C129-D129-G129</f>
        <v>0</v>
      </c>
      <c r="I129" s="300" t="str">
        <f>IF($B129&gt;0,$K$10,"")</f>
        <v/>
      </c>
      <c r="J129" s="300" t="str">
        <f>IF($B129&gt;0,$K$11,"")</f>
        <v/>
      </c>
      <c r="K129" s="178"/>
      <c r="L129" s="345" t="s">
        <v>20</v>
      </c>
      <c r="U129" s="97" t="s">
        <v>14</v>
      </c>
      <c r="V129" s="98" t="s">
        <v>27</v>
      </c>
      <c r="W129" s="98" t="s">
        <v>28</v>
      </c>
      <c r="X129" s="98" t="s">
        <v>27</v>
      </c>
      <c r="Y129" s="98" t="s">
        <v>28</v>
      </c>
      <c r="Z129" s="98" t="s">
        <v>29</v>
      </c>
      <c r="AA129" s="66" t="s">
        <v>30</v>
      </c>
      <c r="AB129" s="153" t="s">
        <v>31</v>
      </c>
      <c r="AC129" s="153"/>
      <c r="AD129" s="153"/>
      <c r="AE129" s="100" t="s">
        <v>83</v>
      </c>
      <c r="AF129" s="98" t="s">
        <v>84</v>
      </c>
      <c r="AG129" s="98" t="s">
        <v>93</v>
      </c>
      <c r="AH129" s="100" t="s">
        <v>94</v>
      </c>
      <c r="AI129" s="100" t="s">
        <v>34</v>
      </c>
      <c r="AJ129" s="98" t="s">
        <v>32</v>
      </c>
      <c r="AK129" s="98" t="s">
        <v>32</v>
      </c>
      <c r="AL129" s="98" t="s">
        <v>50</v>
      </c>
      <c r="AM129" s="101" t="s">
        <v>36</v>
      </c>
      <c r="AO129" s="97" t="str">
        <f>informatieblad!$A$6</f>
        <v>FL20</v>
      </c>
      <c r="AP129" s="97" t="str">
        <f>informatieblad!$A$7</f>
        <v>FL30</v>
      </c>
      <c r="AQ129" s="99" t="str">
        <f>informatieblad!$A$8</f>
        <v>FL40</v>
      </c>
      <c r="AR129" s="266" t="str">
        <f>informatieblad!$A$5</f>
        <v>none</v>
      </c>
      <c r="AT129" s="266" t="s">
        <v>17</v>
      </c>
      <c r="AW129" s="266" t="s">
        <v>37</v>
      </c>
      <c r="AY129" s="269" t="s">
        <v>38</v>
      </c>
      <c r="AZ129" s="272">
        <f>informatieblad!$B$3</f>
        <v>0</v>
      </c>
      <c r="BA129" s="264">
        <f>informatieblad!$B$4</f>
        <v>0</v>
      </c>
    </row>
    <row r="130" spans="1:53" ht="14.25" customHeight="1">
      <c r="A130" s="481"/>
      <c r="B130" s="482" t="str">
        <f>IF($C131&gt;0,IF(MAX(B129:C129)&lt;informatieblad!$Q$4,informatieblad!$P$3,IF(MAX(B129:C129)&gt;informatieblad!$R$4,informatieblad!$P$5,informatieblad!$P$4)),"")</f>
        <v/>
      </c>
      <c r="C130" s="483"/>
      <c r="D130" s="303" t="str">
        <f>A129&amp;"-"&amp;informatieblad!$B$15&amp;"-"&amp;B129&amp;"-"&amp;C129&amp;"-"&amp;D129&amp;"-"&amp;E129&amp;"-"&amp;F129&amp;"-"&amp;G129&amp;"-"&amp;H129&amp;"-"&amp;I129&amp;"-"&amp;J129&amp;"-"&amp;K129&amp;"-"&amp;B130&amp;"-"&amp;G131</f>
        <v>-RctRR----0-0-0-0-----Options None</v>
      </c>
      <c r="E130" s="174"/>
      <c r="F130" s="174"/>
      <c r="G130" s="174"/>
      <c r="H130" s="469" t="s">
        <v>82</v>
      </c>
      <c r="I130" s="470"/>
      <c r="J130" s="470"/>
      <c r="K130" s="191" t="str">
        <f>(IF($C131&gt;0,(IF(MAX((MAX(B129,C129)-D129)/2,(D129-MAX(B129,C129)))*1.732&gt;270,MAX((MAX(B129,C129)-D129)/2,(D250-MAX(B129,C129)))*1.732,270)+30),""))</f>
        <v/>
      </c>
      <c r="L130" s="83"/>
      <c r="U130" s="103">
        <f>A129</f>
        <v>0</v>
      </c>
      <c r="V130" s="104" t="s">
        <v>39</v>
      </c>
      <c r="W130" s="104" t="s">
        <v>39</v>
      </c>
      <c r="X130" s="104" t="s">
        <v>40</v>
      </c>
      <c r="Y130" s="104" t="s">
        <v>40</v>
      </c>
      <c r="Z130" s="104" t="s">
        <v>40</v>
      </c>
      <c r="AA130" s="105"/>
      <c r="AB130" s="155" t="s">
        <v>27</v>
      </c>
      <c r="AC130" s="155" t="s">
        <v>40</v>
      </c>
      <c r="AD130" s="155" t="s">
        <v>41</v>
      </c>
      <c r="AE130" s="104"/>
      <c r="AG130" s="136" t="s">
        <v>15</v>
      </c>
      <c r="AH130" s="136" t="s">
        <v>16</v>
      </c>
      <c r="AI130" s="107"/>
      <c r="AJ130" s="104" t="s">
        <v>40</v>
      </c>
      <c r="AK130" s="104" t="s">
        <v>41</v>
      </c>
      <c r="AL130" s="108"/>
      <c r="AM130" s="109"/>
      <c r="AO130" s="262" t="str">
        <f>informatieblad!$A$2</f>
        <v>FL20 loose</v>
      </c>
      <c r="AP130" s="262" t="str">
        <f>informatieblad!$A$3</f>
        <v>FL30 loose</v>
      </c>
      <c r="AQ130" s="263" t="str">
        <f>informatieblad!$A$4</f>
        <v>FL40 loose</v>
      </c>
      <c r="AR130" s="282"/>
      <c r="AT130" s="267"/>
      <c r="AV130" s="83" t="str">
        <f>'UC mounting materials '!$B$10</f>
        <v>Rail 30x15</v>
      </c>
      <c r="AW130" s="327">
        <f>IF(AE131&lt;1000,(AE131+100),0)*C131</f>
        <v>0</v>
      </c>
      <c r="AY130" s="265" t="s">
        <v>47</v>
      </c>
      <c r="AZ130" s="83" t="s">
        <v>23</v>
      </c>
      <c r="BA130" s="273" t="s">
        <v>23</v>
      </c>
    </row>
    <row r="131" spans="1:53" ht="14.25" customHeight="1" thickBot="1">
      <c r="A131" s="476"/>
      <c r="B131" s="186" t="s">
        <v>23</v>
      </c>
      <c r="C131" s="110"/>
      <c r="D131" s="139"/>
      <c r="E131" s="94">
        <f>C131*W131</f>
        <v>0</v>
      </c>
      <c r="F131" s="141" t="s">
        <v>24</v>
      </c>
      <c r="G131" s="451" t="s">
        <v>25</v>
      </c>
      <c r="H131" s="484"/>
      <c r="I131" s="484"/>
      <c r="J131" s="484"/>
      <c r="K131" s="485"/>
      <c r="L131" s="176"/>
      <c r="U131" s="111"/>
      <c r="V131" s="112">
        <f>ROUND((((2*(B129+C129))*AF131)/1000000),2)</f>
        <v>0</v>
      </c>
      <c r="W131" s="158">
        <f>((IF(V131&lt;=informatieblad!$I$15,informatieblad!$I$15,IF(V131&gt;=informatieblad!$I$15,V131))))</f>
        <v>1</v>
      </c>
      <c r="X131" s="112">
        <f>ROUND((((2*(B129+C129))*AF131)/1000000),2)</f>
        <v>0</v>
      </c>
      <c r="Y131" s="112">
        <f>((IF(X131&lt;=informatieblad!$H$15,informatieblad!$H$15,IF(X131&gt;=informatieblad!$H$15,X131))))</f>
        <v>0</v>
      </c>
      <c r="Z131" s="113">
        <f>((Y131*AJ131)+(Y131*AC131))*C131</f>
        <v>0</v>
      </c>
      <c r="AA131" s="114">
        <f>((W131*AK131)+(W131*AD131))*C131</f>
        <v>0</v>
      </c>
      <c r="AB131" s="115" t="str">
        <f>G131</f>
        <v>Options None</v>
      </c>
      <c r="AC131" s="115">
        <f>VLOOKUP(G131,informatieblad!$A$37:$D$41,2,FALSE)</f>
        <v>0</v>
      </c>
      <c r="AD131" s="115">
        <f>VLOOKUP(G131,informatieblad!$A$37:$D$41,4,FALSE)</f>
        <v>0</v>
      </c>
      <c r="AE131" s="160">
        <f>(MAX(B129:C129))</f>
        <v>0</v>
      </c>
      <c r="AF131" s="161">
        <f>(MAX(AH131,AG131))</f>
        <v>0</v>
      </c>
      <c r="AG131" s="162">
        <f>ROUND((SQRT((((MAX(E129,F129))^2)+(K129^2)))),0)</f>
        <v>0</v>
      </c>
      <c r="AH131" s="163">
        <f>ROUND((SQRT((((MAX(G129,H129))^2)+(K129^2)))),0)</f>
        <v>0</v>
      </c>
      <c r="AI131" s="119">
        <f>LOOKUP(AE131,informatieblad!$C$27:$C$32,informatieblad!$A$27:$A$32)</f>
        <v>0.5</v>
      </c>
      <c r="AJ131" s="118">
        <f>VLOOKUP(AI131,informatieblad!$A$27:$M$32,6,FALSE)</f>
        <v>0</v>
      </c>
      <c r="AK131" s="118">
        <f>VLOOKUP(AI131,informatieblad!$A$27:$M$32,8,FALSE)</f>
        <v>45.1248</v>
      </c>
      <c r="AL131" s="120">
        <f>VLOOKUP(AI131,informatieblad!$A$27:$M$32,13,FALSE)</f>
        <v>4</v>
      </c>
      <c r="AM131" s="121">
        <f>ROUND((AL131*X131),1)</f>
        <v>0</v>
      </c>
      <c r="AO131" s="111">
        <f>(IF(B130=AO129,((2*B129)+(2*C129)),IF(B130=AO130,((2*B129)+(2*C129)),0)))*C131</f>
        <v>0</v>
      </c>
      <c r="AP131" s="111">
        <f>(IF(B130=AP129,((2*B129)+(2*C129)),IF(B130=AP130,((2*B129)+(2*C129)),0)))*C131</f>
        <v>0</v>
      </c>
      <c r="AQ131" s="261">
        <f>(IF(B130=AQ129,((2*B129)+(2*C129)),IF(B130=AQ130,((2*B129)+(2*C129)),0)))*C131</f>
        <v>0</v>
      </c>
      <c r="AR131" s="283">
        <f>(IF(B130=AR129,((2*B129)+(2*C129)),0))*C131</f>
        <v>0</v>
      </c>
      <c r="AT131" s="268">
        <f>K129*C131</f>
        <v>0</v>
      </c>
      <c r="AV131" s="83" t="str">
        <f>'UC mounting materials '!$B$11</f>
        <v>Rail 41x41</v>
      </c>
      <c r="AW131" s="268">
        <f>IF(AE131&gt;999,(AE131+100),0)*C131</f>
        <v>0</v>
      </c>
      <c r="AY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AZ131" s="276">
        <f>IF(AY131=AZ129,(4*C131),0)</f>
        <v>0</v>
      </c>
      <c r="BA131" s="274">
        <f>IF(AY131=BA129,(4*C131),0)</f>
        <v>0</v>
      </c>
    </row>
    <row r="132" spans="1:53" ht="5.0999999999999996" customHeight="1" thickBot="1">
      <c r="A132" s="145"/>
      <c r="B132" s="122"/>
      <c r="C132" s="122"/>
      <c r="D132" s="122"/>
      <c r="E132" s="122"/>
      <c r="F132" s="122"/>
      <c r="G132" s="122"/>
      <c r="H132" s="122"/>
      <c r="I132" s="122"/>
      <c r="J132" s="122"/>
      <c r="K132" s="146"/>
    </row>
    <row r="133" spans="1:53" ht="14.25" customHeight="1" thickBot="1">
      <c r="A133" s="445"/>
      <c r="B133" s="96"/>
      <c r="C133" s="96"/>
      <c r="D133" s="96"/>
      <c r="E133" s="96">
        <f>(B133-D133)/2</f>
        <v>0</v>
      </c>
      <c r="F133" s="167">
        <f>B133-D133-E133</f>
        <v>0</v>
      </c>
      <c r="G133" s="96">
        <f>(C133-D133)/2</f>
        <v>0</v>
      </c>
      <c r="H133" s="167">
        <f>C133-D133-G133</f>
        <v>0</v>
      </c>
      <c r="I133" s="300" t="str">
        <f>IF($B133&gt;0,$K$10,"")</f>
        <v/>
      </c>
      <c r="J133" s="300" t="str">
        <f>IF($B133&gt;0,$K$11,"")</f>
        <v/>
      </c>
      <c r="K133" s="178"/>
      <c r="L133" s="345" t="s">
        <v>20</v>
      </c>
      <c r="U133" s="97" t="s">
        <v>14</v>
      </c>
      <c r="V133" s="98" t="s">
        <v>27</v>
      </c>
      <c r="W133" s="98" t="s">
        <v>28</v>
      </c>
      <c r="X133" s="98" t="s">
        <v>27</v>
      </c>
      <c r="Y133" s="98" t="s">
        <v>28</v>
      </c>
      <c r="Z133" s="98" t="s">
        <v>29</v>
      </c>
      <c r="AA133" s="66" t="s">
        <v>30</v>
      </c>
      <c r="AB133" s="153" t="s">
        <v>31</v>
      </c>
      <c r="AC133" s="153"/>
      <c r="AD133" s="153"/>
      <c r="AE133" s="100" t="s">
        <v>83</v>
      </c>
      <c r="AF133" s="98" t="s">
        <v>84</v>
      </c>
      <c r="AG133" s="98" t="s">
        <v>93</v>
      </c>
      <c r="AH133" s="100" t="s">
        <v>94</v>
      </c>
      <c r="AI133" s="100" t="s">
        <v>34</v>
      </c>
      <c r="AJ133" s="98" t="s">
        <v>32</v>
      </c>
      <c r="AK133" s="98" t="s">
        <v>32</v>
      </c>
      <c r="AL133" s="98" t="s">
        <v>50</v>
      </c>
      <c r="AM133" s="101" t="s">
        <v>36</v>
      </c>
      <c r="AO133" s="97" t="str">
        <f>informatieblad!$A$6</f>
        <v>FL20</v>
      </c>
      <c r="AP133" s="97" t="str">
        <f>informatieblad!$A$7</f>
        <v>FL30</v>
      </c>
      <c r="AQ133" s="99" t="str">
        <f>informatieblad!$A$8</f>
        <v>FL40</v>
      </c>
      <c r="AR133" s="266" t="str">
        <f>informatieblad!$A$5</f>
        <v>none</v>
      </c>
      <c r="AT133" s="266" t="s">
        <v>17</v>
      </c>
      <c r="AW133" s="266" t="s">
        <v>37</v>
      </c>
      <c r="AY133" s="269" t="s">
        <v>38</v>
      </c>
      <c r="AZ133" s="272">
        <f>informatieblad!$B$3</f>
        <v>0</v>
      </c>
      <c r="BA133" s="264">
        <f>informatieblad!$B$4</f>
        <v>0</v>
      </c>
    </row>
    <row r="134" spans="1:53" ht="14.25" customHeight="1">
      <c r="A134" s="481"/>
      <c r="B134" s="482" t="str">
        <f>IF($C135&gt;0,IF(MAX(B133:C133)&lt;informatieblad!$Q$4,informatieblad!$P$3,IF(MAX(B133:C133)&gt;informatieblad!$R$4,informatieblad!$P$5,informatieblad!$P$4)),"")</f>
        <v/>
      </c>
      <c r="C134" s="483"/>
      <c r="D134" s="303" t="str">
        <f>A133&amp;"-"&amp;informatieblad!$B$15&amp;"-"&amp;B133&amp;"-"&amp;C133&amp;"-"&amp;D133&amp;"-"&amp;E133&amp;"-"&amp;F133&amp;"-"&amp;G133&amp;"-"&amp;H133&amp;"-"&amp;I133&amp;"-"&amp;J133&amp;"-"&amp;K133&amp;"-"&amp;B134&amp;"-"&amp;G135</f>
        <v>-RctRR----0-0-0-0-----Options None</v>
      </c>
      <c r="E134" s="174"/>
      <c r="F134" s="174"/>
      <c r="G134" s="174"/>
      <c r="H134" s="469" t="s">
        <v>82</v>
      </c>
      <c r="I134" s="470"/>
      <c r="J134" s="470"/>
      <c r="K134" s="191" t="str">
        <f>(IF($C135&gt;0,(IF(MAX((MAX(B133,C133)-D133)/2,(D133-MAX(B133,C133)))*1.732&gt;270,MAX((MAX(B133,C133)-D133)/2,(D254-MAX(B133,C133)))*1.732,270)+30),""))</f>
        <v/>
      </c>
      <c r="L134" s="83"/>
      <c r="U134" s="103">
        <f>A133</f>
        <v>0</v>
      </c>
      <c r="V134" s="104" t="s">
        <v>39</v>
      </c>
      <c r="W134" s="104" t="s">
        <v>39</v>
      </c>
      <c r="X134" s="104" t="s">
        <v>40</v>
      </c>
      <c r="Y134" s="104" t="s">
        <v>40</v>
      </c>
      <c r="Z134" s="104" t="s">
        <v>40</v>
      </c>
      <c r="AA134" s="105"/>
      <c r="AB134" s="155" t="s">
        <v>27</v>
      </c>
      <c r="AC134" s="155" t="s">
        <v>40</v>
      </c>
      <c r="AD134" s="155" t="s">
        <v>41</v>
      </c>
      <c r="AE134" s="104"/>
      <c r="AG134" s="136" t="s">
        <v>15</v>
      </c>
      <c r="AH134" s="136" t="s">
        <v>16</v>
      </c>
      <c r="AI134" s="107"/>
      <c r="AJ134" s="104" t="s">
        <v>40</v>
      </c>
      <c r="AK134" s="104" t="s">
        <v>41</v>
      </c>
      <c r="AL134" s="108"/>
      <c r="AM134" s="109"/>
      <c r="AO134" s="262" t="str">
        <f>informatieblad!$A$2</f>
        <v>FL20 loose</v>
      </c>
      <c r="AP134" s="262" t="str">
        <f>informatieblad!$A$3</f>
        <v>FL30 loose</v>
      </c>
      <c r="AQ134" s="263" t="str">
        <f>informatieblad!$A$4</f>
        <v>FL40 loose</v>
      </c>
      <c r="AR134" s="282"/>
      <c r="AT134" s="267"/>
      <c r="AV134" s="83" t="str">
        <f>'UC mounting materials '!$B$10</f>
        <v>Rail 30x15</v>
      </c>
      <c r="AW134" s="327">
        <f>IF(AE135&lt;1000,(AE135+100),0)*C135</f>
        <v>0</v>
      </c>
      <c r="AY134" s="265" t="s">
        <v>47</v>
      </c>
      <c r="AZ134" s="83" t="s">
        <v>23</v>
      </c>
      <c r="BA134" s="273" t="s">
        <v>23</v>
      </c>
    </row>
    <row r="135" spans="1:53" ht="14.25" customHeight="1" thickBot="1">
      <c r="A135" s="476"/>
      <c r="B135" s="186" t="s">
        <v>23</v>
      </c>
      <c r="C135" s="110"/>
      <c r="D135" s="139"/>
      <c r="E135" s="94">
        <f>C135*W135</f>
        <v>0</v>
      </c>
      <c r="F135" s="141" t="s">
        <v>24</v>
      </c>
      <c r="G135" s="451" t="s">
        <v>25</v>
      </c>
      <c r="H135" s="484"/>
      <c r="I135" s="484"/>
      <c r="J135" s="484"/>
      <c r="K135" s="485"/>
      <c r="L135" s="176"/>
      <c r="U135" s="111"/>
      <c r="V135" s="112">
        <f>ROUND((((2*(B133+C133))*AF135)/1000000),2)</f>
        <v>0</v>
      </c>
      <c r="W135" s="158">
        <f>((IF(V135&lt;=informatieblad!$I$15,informatieblad!$I$15,IF(V135&gt;=informatieblad!$I$15,V135))))</f>
        <v>1</v>
      </c>
      <c r="X135" s="112">
        <f>ROUND((((2*(B133+C133))*AF135)/1000000),2)</f>
        <v>0</v>
      </c>
      <c r="Y135" s="112">
        <f>((IF(X135&lt;=informatieblad!$H$15,informatieblad!$H$15,IF(X135&gt;=informatieblad!$H$15,X135))))</f>
        <v>0</v>
      </c>
      <c r="Z135" s="113">
        <f>((Y135*AJ135)+(Y135*AC135))*C135</f>
        <v>0</v>
      </c>
      <c r="AA135" s="114">
        <f>((W135*AK135)+(W135*AD135))*C135</f>
        <v>0</v>
      </c>
      <c r="AB135" s="115" t="str">
        <f>G135</f>
        <v>Options None</v>
      </c>
      <c r="AC135" s="115">
        <f>VLOOKUP(G135,informatieblad!$A$37:$D$41,2,FALSE)</f>
        <v>0</v>
      </c>
      <c r="AD135" s="115">
        <f>VLOOKUP(G135,informatieblad!$A$37:$D$41,4,FALSE)</f>
        <v>0</v>
      </c>
      <c r="AE135" s="160">
        <f>(MAX(B133:C133))</f>
        <v>0</v>
      </c>
      <c r="AF135" s="161">
        <f>(MAX(AH135,AG135))</f>
        <v>0</v>
      </c>
      <c r="AG135" s="162">
        <f>ROUND((SQRT((((MAX(E133,F133))^2)+(K133^2)))),0)</f>
        <v>0</v>
      </c>
      <c r="AH135" s="163">
        <f>ROUND((SQRT((((MAX(G133,H133))^2)+(K133^2)))),0)</f>
        <v>0</v>
      </c>
      <c r="AI135" s="119">
        <f>LOOKUP(AE135,informatieblad!$C$27:$C$32,informatieblad!$A$27:$A$32)</f>
        <v>0.5</v>
      </c>
      <c r="AJ135" s="118">
        <f>VLOOKUP(AI135,informatieblad!$A$27:$M$32,6,FALSE)</f>
        <v>0</v>
      </c>
      <c r="AK135" s="118">
        <f>VLOOKUP(AI135,informatieblad!$A$27:$M$32,8,FALSE)</f>
        <v>45.1248</v>
      </c>
      <c r="AL135" s="120">
        <f>VLOOKUP(AI135,informatieblad!$A$27:$M$32,13,FALSE)</f>
        <v>4</v>
      </c>
      <c r="AM135" s="121">
        <f>ROUND((AL135*X135),1)</f>
        <v>0</v>
      </c>
      <c r="AO135" s="111">
        <f>(IF(B134=AO133,((2*B133)+(2*C133)),IF(B134=AO134,((2*B133)+(2*C133)),0)))*C135</f>
        <v>0</v>
      </c>
      <c r="AP135" s="111">
        <f>(IF(B134=AP133,((2*B133)+(2*C133)),IF(B134=AP134,((2*B133)+(2*C133)),0)))*C135</f>
        <v>0</v>
      </c>
      <c r="AQ135" s="261">
        <f>(IF(B134=AQ133,((2*B133)+(2*C133)),IF(B134=AQ134,((2*B133)+(2*C133)),0)))*C135</f>
        <v>0</v>
      </c>
      <c r="AR135" s="283">
        <f>(IF(B134=AR133,((2*B133)+(2*C133)),0))*C135</f>
        <v>0</v>
      </c>
      <c r="AT135" s="268">
        <f>K133*C135</f>
        <v>0</v>
      </c>
      <c r="AV135" s="83" t="str">
        <f>'UC mounting materials '!$B$11</f>
        <v>Rail 41x41</v>
      </c>
      <c r="AW135" s="268">
        <f>IF(AE135&gt;999,(AE135+100),0)*C135</f>
        <v>0</v>
      </c>
      <c r="AY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AZ135" s="276">
        <f>IF(AY135=AZ133,(4*C135),0)</f>
        <v>0</v>
      </c>
      <c r="BA135" s="274">
        <f>IF(AY135=BA133,(4*C135),0)</f>
        <v>0</v>
      </c>
    </row>
    <row r="136" spans="1:53" ht="5.0999999999999996" customHeight="1" thickBot="1">
      <c r="A136" s="145"/>
      <c r="B136" s="122"/>
      <c r="C136" s="122"/>
      <c r="D136" s="122"/>
      <c r="E136" s="122"/>
      <c r="F136" s="122"/>
      <c r="G136" s="122"/>
      <c r="H136" s="122"/>
      <c r="I136" s="122"/>
      <c r="J136" s="122"/>
      <c r="K136" s="146"/>
    </row>
    <row r="137" spans="1:53" ht="14.25" customHeight="1" thickBot="1">
      <c r="A137" s="445"/>
      <c r="B137" s="96"/>
      <c r="C137" s="96"/>
      <c r="D137" s="96"/>
      <c r="E137" s="96">
        <f>(B137-D137)/2</f>
        <v>0</v>
      </c>
      <c r="F137" s="167">
        <f>B137-D137-E137</f>
        <v>0</v>
      </c>
      <c r="G137" s="96">
        <f>(C137-D137)/2</f>
        <v>0</v>
      </c>
      <c r="H137" s="167">
        <f>C137-D137-G137</f>
        <v>0</v>
      </c>
      <c r="I137" s="300" t="str">
        <f>IF($B137&gt;0,$K$10,"")</f>
        <v/>
      </c>
      <c r="J137" s="300" t="str">
        <f>IF($B137&gt;0,$K$11,"")</f>
        <v/>
      </c>
      <c r="K137" s="178"/>
      <c r="L137" s="345" t="s">
        <v>20</v>
      </c>
      <c r="U137" s="97" t="s">
        <v>14</v>
      </c>
      <c r="V137" s="98" t="s">
        <v>27</v>
      </c>
      <c r="W137" s="98" t="s">
        <v>28</v>
      </c>
      <c r="X137" s="98" t="s">
        <v>27</v>
      </c>
      <c r="Y137" s="98" t="s">
        <v>28</v>
      </c>
      <c r="Z137" s="98" t="s">
        <v>29</v>
      </c>
      <c r="AA137" s="66" t="s">
        <v>30</v>
      </c>
      <c r="AB137" s="153" t="s">
        <v>31</v>
      </c>
      <c r="AC137" s="153"/>
      <c r="AD137" s="153"/>
      <c r="AE137" s="100" t="s">
        <v>83</v>
      </c>
      <c r="AF137" s="98" t="s">
        <v>84</v>
      </c>
      <c r="AG137" s="98" t="s">
        <v>93</v>
      </c>
      <c r="AH137" s="100" t="s">
        <v>94</v>
      </c>
      <c r="AI137" s="100" t="s">
        <v>34</v>
      </c>
      <c r="AJ137" s="98" t="s">
        <v>32</v>
      </c>
      <c r="AK137" s="98" t="s">
        <v>32</v>
      </c>
      <c r="AL137" s="98" t="s">
        <v>50</v>
      </c>
      <c r="AM137" s="101" t="s">
        <v>36</v>
      </c>
      <c r="AO137" s="97" t="str">
        <f>informatieblad!$A$6</f>
        <v>FL20</v>
      </c>
      <c r="AP137" s="97" t="str">
        <f>informatieblad!$A$7</f>
        <v>FL30</v>
      </c>
      <c r="AQ137" s="99" t="str">
        <f>informatieblad!$A$8</f>
        <v>FL40</v>
      </c>
      <c r="AR137" s="266" t="str">
        <f>informatieblad!$A$5</f>
        <v>none</v>
      </c>
      <c r="AT137" s="266" t="s">
        <v>17</v>
      </c>
      <c r="AW137" s="266" t="s">
        <v>37</v>
      </c>
      <c r="AY137" s="269" t="s">
        <v>38</v>
      </c>
      <c r="AZ137" s="272">
        <f>informatieblad!$B$3</f>
        <v>0</v>
      </c>
      <c r="BA137" s="264">
        <f>informatieblad!$B$4</f>
        <v>0</v>
      </c>
    </row>
    <row r="138" spans="1:53" ht="14.25" customHeight="1">
      <c r="A138" s="481"/>
      <c r="B138" s="482" t="str">
        <f>IF($C139&gt;0,IF(MAX(B137:C137)&lt;informatieblad!$Q$4,informatieblad!$P$3,IF(MAX(B137:C137)&gt;informatieblad!$R$4,informatieblad!$P$5,informatieblad!$P$4)),"")</f>
        <v/>
      </c>
      <c r="C138" s="483"/>
      <c r="D138" s="190" t="str">
        <f>A137&amp;"-"&amp;informatieblad!$B$15&amp;"-"&amp;B137&amp;"-"&amp;C137&amp;"-"&amp;D137&amp;"-"&amp;E137&amp;"-"&amp;F137&amp;"-"&amp;G137&amp;"-"&amp;H137&amp;"-"&amp;I137&amp;"-"&amp;J137&amp;"-"&amp;K137&amp;"-"&amp;B138&amp;"-"&amp;G139</f>
        <v>-RctRR----0-0-0-0-----Options None</v>
      </c>
      <c r="E138" s="174"/>
      <c r="F138" s="174"/>
      <c r="G138" s="174"/>
      <c r="H138" s="469" t="s">
        <v>82</v>
      </c>
      <c r="I138" s="470"/>
      <c r="J138" s="470"/>
      <c r="K138" s="191" t="str">
        <f>(IF($C139&gt;0,(IF(MAX((MAX(B137,C137)-D137)/2,(D137-MAX(B137,C137)))*1.732&gt;270,MAX((MAX(B137,C137)-D137)/2,(D258-MAX(B137,C137)))*1.732,270)+30),""))</f>
        <v/>
      </c>
      <c r="L138" s="83"/>
      <c r="U138" s="103">
        <f>A137</f>
        <v>0</v>
      </c>
      <c r="V138" s="104" t="s">
        <v>39</v>
      </c>
      <c r="W138" s="104" t="s">
        <v>39</v>
      </c>
      <c r="X138" s="104" t="s">
        <v>40</v>
      </c>
      <c r="Y138" s="104" t="s">
        <v>40</v>
      </c>
      <c r="Z138" s="104" t="s">
        <v>40</v>
      </c>
      <c r="AA138" s="105"/>
      <c r="AB138" s="155" t="s">
        <v>27</v>
      </c>
      <c r="AC138" s="155" t="s">
        <v>40</v>
      </c>
      <c r="AD138" s="155" t="s">
        <v>41</v>
      </c>
      <c r="AE138" s="104"/>
      <c r="AG138" s="136" t="s">
        <v>15</v>
      </c>
      <c r="AH138" s="136" t="s">
        <v>16</v>
      </c>
      <c r="AI138" s="107"/>
      <c r="AJ138" s="104" t="s">
        <v>40</v>
      </c>
      <c r="AK138" s="104" t="s">
        <v>41</v>
      </c>
      <c r="AL138" s="108"/>
      <c r="AM138" s="109"/>
      <c r="AO138" s="262" t="str">
        <f>informatieblad!$A$2</f>
        <v>FL20 loose</v>
      </c>
      <c r="AP138" s="262" t="str">
        <f>informatieblad!$A$3</f>
        <v>FL30 loose</v>
      </c>
      <c r="AQ138" s="263" t="str">
        <f>informatieblad!$A$4</f>
        <v>FL40 loose</v>
      </c>
      <c r="AR138" s="282"/>
      <c r="AT138" s="267"/>
      <c r="AV138" s="83" t="str">
        <f>'UC mounting materials '!$B$10</f>
        <v>Rail 30x15</v>
      </c>
      <c r="AW138" s="327">
        <f>IF(AE139&lt;1000,(AE139+100),0)*C139</f>
        <v>0</v>
      </c>
      <c r="AY138" s="265" t="s">
        <v>47</v>
      </c>
      <c r="AZ138" s="83" t="s">
        <v>23</v>
      </c>
      <c r="BA138" s="273" t="s">
        <v>23</v>
      </c>
    </row>
    <row r="139" spans="1:53" ht="14.25" customHeight="1" thickBot="1">
      <c r="A139" s="476"/>
      <c r="B139" s="186" t="s">
        <v>23</v>
      </c>
      <c r="C139" s="110"/>
      <c r="D139" s="139"/>
      <c r="E139" s="94">
        <f>C139*W139</f>
        <v>0</v>
      </c>
      <c r="F139" s="141" t="s">
        <v>24</v>
      </c>
      <c r="G139" s="451" t="s">
        <v>25</v>
      </c>
      <c r="H139" s="484"/>
      <c r="I139" s="484"/>
      <c r="J139" s="484"/>
      <c r="K139" s="485"/>
      <c r="L139" s="176"/>
      <c r="U139" s="111"/>
      <c r="V139" s="112">
        <f>ROUND((((2*(B137+C137))*AF139)/1000000),2)</f>
        <v>0</v>
      </c>
      <c r="W139" s="158">
        <f>((IF(V139&lt;=informatieblad!$I$15,informatieblad!$I$15,IF(V139&gt;=informatieblad!$I$15,V139))))</f>
        <v>1</v>
      </c>
      <c r="X139" s="112">
        <f>ROUND((((2*(B137+C137))*AF139)/1000000),2)</f>
        <v>0</v>
      </c>
      <c r="Y139" s="112">
        <f>((IF(X139&lt;=informatieblad!$H$15,informatieblad!$H$15,IF(X139&gt;=informatieblad!$H$15,X139))))</f>
        <v>0</v>
      </c>
      <c r="Z139" s="113">
        <f>((Y139*AJ139)+(Y139*AC139))*C139</f>
        <v>0</v>
      </c>
      <c r="AA139" s="114">
        <f>((W139*AK139)+(W139*AD139))*C139</f>
        <v>0</v>
      </c>
      <c r="AB139" s="115" t="str">
        <f>G139</f>
        <v>Options None</v>
      </c>
      <c r="AC139" s="115">
        <f>VLOOKUP(G139,informatieblad!$A$37:$D$41,2,FALSE)</f>
        <v>0</v>
      </c>
      <c r="AD139" s="115">
        <f>VLOOKUP(G139,informatieblad!$A$37:$D$41,4,FALSE)</f>
        <v>0</v>
      </c>
      <c r="AE139" s="160">
        <f>(MAX(B137:C137))</f>
        <v>0</v>
      </c>
      <c r="AF139" s="161">
        <f>(MAX(AH139,AG139))</f>
        <v>0</v>
      </c>
      <c r="AG139" s="162">
        <f>ROUND((SQRT((((MAX(E137,F137))^2)+(K137^2)))),0)</f>
        <v>0</v>
      </c>
      <c r="AH139" s="163">
        <f>ROUND((SQRT((((MAX(G137,H137))^2)+(K137^2)))),0)</f>
        <v>0</v>
      </c>
      <c r="AI139" s="119">
        <f>LOOKUP(AE139,informatieblad!$C$27:$C$32,informatieblad!$A$27:$A$32)</f>
        <v>0.5</v>
      </c>
      <c r="AJ139" s="118">
        <f>VLOOKUP(AI139,informatieblad!$A$27:$M$32,6,FALSE)</f>
        <v>0</v>
      </c>
      <c r="AK139" s="118">
        <f>VLOOKUP(AI139,informatieblad!$A$27:$M$32,8,FALSE)</f>
        <v>45.1248</v>
      </c>
      <c r="AL139" s="120">
        <f>VLOOKUP(AI139,informatieblad!$A$27:$M$32,13,FALSE)</f>
        <v>4</v>
      </c>
      <c r="AM139" s="121">
        <f>ROUND((AL139*X139),1)</f>
        <v>0</v>
      </c>
      <c r="AO139" s="111">
        <f>(IF(B138=AO137,((2*B137)+(2*C137)),IF(B138=AO138,((2*B137)+(2*C137)),0)))*C139</f>
        <v>0</v>
      </c>
      <c r="AP139" s="111">
        <f>(IF(B138=AP137,((2*B137)+(2*C137)),IF(B138=AP138,((2*B137)+(2*C137)),0)))*C139</f>
        <v>0</v>
      </c>
      <c r="AQ139" s="261">
        <f>(IF(B138=AQ137,((2*B137)+(2*C137)),IF(B138=AQ138,((2*B137)+(2*C137)),0)))*C139</f>
        <v>0</v>
      </c>
      <c r="AR139" s="283">
        <f>(IF(B138=AR137,((2*B137)+(2*C137)),0))*C139</f>
        <v>0</v>
      </c>
      <c r="AT139" s="268">
        <f>K137*C139</f>
        <v>0</v>
      </c>
      <c r="AV139" s="83" t="str">
        <f>'UC mounting materials '!$B$11</f>
        <v>Rail 41x41</v>
      </c>
      <c r="AW139" s="268">
        <f>IF(AE139&gt;999,(AE139+100),0)*C139</f>
        <v>0</v>
      </c>
      <c r="AY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AZ139" s="276">
        <f>IF(AY139=AZ137,(4*C139),0)</f>
        <v>0</v>
      </c>
      <c r="BA139" s="274">
        <f>IF(AY139=BA137,(4*C139),0)</f>
        <v>0</v>
      </c>
    </row>
    <row r="140" spans="1:53" ht="5.0999999999999996" customHeight="1" thickBot="1">
      <c r="A140" s="145"/>
      <c r="B140" s="122"/>
      <c r="C140" s="122"/>
      <c r="D140" s="122"/>
      <c r="E140" s="122"/>
      <c r="F140" s="122"/>
      <c r="G140" s="122"/>
      <c r="H140" s="122"/>
      <c r="I140" s="122"/>
      <c r="J140" s="122"/>
      <c r="K140" s="146"/>
    </row>
    <row r="141" spans="1:53" ht="14.25" customHeight="1" thickBot="1">
      <c r="A141" s="445"/>
      <c r="B141" s="96"/>
      <c r="C141" s="96"/>
      <c r="D141" s="96"/>
      <c r="E141" s="96">
        <f>(B141-D141)/2</f>
        <v>0</v>
      </c>
      <c r="F141" s="167">
        <f>B141-D141-E141</f>
        <v>0</v>
      </c>
      <c r="G141" s="96">
        <f>(C141-D141)/2</f>
        <v>0</v>
      </c>
      <c r="H141" s="167">
        <f>C141-D141-G141</f>
        <v>0</v>
      </c>
      <c r="I141" s="300" t="str">
        <f>IF($B141&gt;0,$K$10,"")</f>
        <v/>
      </c>
      <c r="J141" s="300" t="str">
        <f>IF($B141&gt;0,$K$11,"")</f>
        <v/>
      </c>
      <c r="K141" s="178"/>
      <c r="L141" s="345" t="s">
        <v>20</v>
      </c>
      <c r="U141" s="97" t="s">
        <v>14</v>
      </c>
      <c r="V141" s="98" t="s">
        <v>27</v>
      </c>
      <c r="W141" s="98" t="s">
        <v>28</v>
      </c>
      <c r="X141" s="98" t="s">
        <v>27</v>
      </c>
      <c r="Y141" s="98" t="s">
        <v>28</v>
      </c>
      <c r="Z141" s="98" t="s">
        <v>29</v>
      </c>
      <c r="AA141" s="66" t="s">
        <v>30</v>
      </c>
      <c r="AB141" s="153" t="s">
        <v>31</v>
      </c>
      <c r="AC141" s="153"/>
      <c r="AD141" s="153"/>
      <c r="AE141" s="100" t="s">
        <v>83</v>
      </c>
      <c r="AF141" s="98" t="s">
        <v>84</v>
      </c>
      <c r="AG141" s="98" t="s">
        <v>93</v>
      </c>
      <c r="AH141" s="100" t="s">
        <v>94</v>
      </c>
      <c r="AI141" s="100" t="s">
        <v>34</v>
      </c>
      <c r="AJ141" s="98" t="s">
        <v>32</v>
      </c>
      <c r="AK141" s="98" t="s">
        <v>32</v>
      </c>
      <c r="AL141" s="98" t="s">
        <v>50</v>
      </c>
      <c r="AM141" s="101" t="s">
        <v>36</v>
      </c>
      <c r="AO141" s="97" t="str">
        <f>informatieblad!$A$6</f>
        <v>FL20</v>
      </c>
      <c r="AP141" s="97" t="str">
        <f>informatieblad!$A$7</f>
        <v>FL30</v>
      </c>
      <c r="AQ141" s="99" t="str">
        <f>informatieblad!$A$8</f>
        <v>FL40</v>
      </c>
      <c r="AR141" s="266" t="str">
        <f>informatieblad!$A$5</f>
        <v>none</v>
      </c>
      <c r="AS141" s="62"/>
      <c r="AT141" s="266" t="s">
        <v>17</v>
      </c>
      <c r="AW141" s="266" t="s">
        <v>37</v>
      </c>
      <c r="AY141" s="269" t="s">
        <v>38</v>
      </c>
      <c r="AZ141" s="272">
        <f>informatieblad!$B$3</f>
        <v>0</v>
      </c>
      <c r="BA141" s="264">
        <f>informatieblad!$B$4</f>
        <v>0</v>
      </c>
    </row>
    <row r="142" spans="1:53" ht="14.25" customHeight="1">
      <c r="A142" s="481"/>
      <c r="B142" s="482" t="str">
        <f>IF($C143&gt;0,IF(MAX(B141:C141)&lt;informatieblad!$Q$4,informatieblad!$P$3,IF(MAX(B141:C141)&gt;informatieblad!$R$4,informatieblad!$P$5,informatieblad!$P$4)),"")</f>
        <v/>
      </c>
      <c r="C142" s="483"/>
      <c r="D142" s="303" t="str">
        <f>A141&amp;"-"&amp;informatieblad!$B$15&amp;"-"&amp;B141&amp;"-"&amp;C141&amp;"-"&amp;D141&amp;"-"&amp;E141&amp;"-"&amp;F141&amp;"-"&amp;G141&amp;"-"&amp;H141&amp;"-"&amp;I141&amp;"-"&amp;J141&amp;"-"&amp;K141&amp;"-"&amp;B142&amp;"-"&amp;G143</f>
        <v>-RctRR----0-0-0-0-----Options None</v>
      </c>
      <c r="E142" s="174"/>
      <c r="F142" s="174"/>
      <c r="G142" s="174"/>
      <c r="H142" s="469" t="s">
        <v>82</v>
      </c>
      <c r="I142" s="470"/>
      <c r="J142" s="470"/>
      <c r="K142" s="191" t="str">
        <f>(IF($C143&gt;0,(IF(MAX((MAX(B141,C141)-D141)/2,(D141-MAX(B141,C141)))*1.732&gt;270,MAX((MAX(B141,C141)-D141)/2,(D262-MAX(B141,C141)))*1.732,270)+30),""))</f>
        <v/>
      </c>
      <c r="U142" s="103">
        <f>A141</f>
        <v>0</v>
      </c>
      <c r="V142" s="104" t="s">
        <v>39</v>
      </c>
      <c r="W142" s="104" t="s">
        <v>39</v>
      </c>
      <c r="X142" s="104" t="s">
        <v>40</v>
      </c>
      <c r="Y142" s="104" t="s">
        <v>40</v>
      </c>
      <c r="Z142" s="104" t="s">
        <v>40</v>
      </c>
      <c r="AA142" s="105"/>
      <c r="AB142" s="155" t="s">
        <v>27</v>
      </c>
      <c r="AC142" s="155" t="s">
        <v>40</v>
      </c>
      <c r="AD142" s="155" t="s">
        <v>41</v>
      </c>
      <c r="AE142" s="104"/>
      <c r="AG142" s="136" t="s">
        <v>15</v>
      </c>
      <c r="AH142" s="136" t="s">
        <v>16</v>
      </c>
      <c r="AI142" s="107"/>
      <c r="AJ142" s="104" t="s">
        <v>40</v>
      </c>
      <c r="AK142" s="104" t="s">
        <v>41</v>
      </c>
      <c r="AL142" s="108"/>
      <c r="AM142" s="109"/>
      <c r="AO142" s="262" t="str">
        <f>informatieblad!$A$2</f>
        <v>FL20 loose</v>
      </c>
      <c r="AP142" s="262" t="str">
        <f>informatieblad!$A$3</f>
        <v>FL30 loose</v>
      </c>
      <c r="AQ142" s="263" t="str">
        <f>informatieblad!$A$4</f>
        <v>FL40 loose</v>
      </c>
      <c r="AR142" s="282"/>
      <c r="AT142" s="267"/>
      <c r="AV142" s="83" t="str">
        <f>'UC mounting materials '!$B$10</f>
        <v>Rail 30x15</v>
      </c>
      <c r="AW142" s="327">
        <f>IF(AE143&lt;1000,(AE143+100),0)*C143</f>
        <v>0</v>
      </c>
      <c r="AY142" s="265" t="s">
        <v>47</v>
      </c>
      <c r="AZ142" s="83" t="s">
        <v>23</v>
      </c>
      <c r="BA142" s="273" t="s">
        <v>23</v>
      </c>
    </row>
    <row r="143" spans="1:53" ht="14.25" customHeight="1" thickBot="1">
      <c r="A143" s="476"/>
      <c r="B143" s="186" t="s">
        <v>23</v>
      </c>
      <c r="C143" s="110"/>
      <c r="D143" s="139"/>
      <c r="E143" s="94">
        <f>C143*W143</f>
        <v>0</v>
      </c>
      <c r="F143" s="141" t="s">
        <v>24</v>
      </c>
      <c r="G143" s="451" t="s">
        <v>25</v>
      </c>
      <c r="H143" s="484"/>
      <c r="I143" s="484"/>
      <c r="J143" s="484"/>
      <c r="K143" s="485"/>
      <c r="U143" s="111"/>
      <c r="V143" s="112">
        <f>ROUND((((2*(B141+C141))*AF143)/1000000),2)</f>
        <v>0</v>
      </c>
      <c r="W143" s="158">
        <f>((IF(V143&lt;=informatieblad!$I$15,informatieblad!$I$15,IF(V143&gt;=informatieblad!$I$15,V143))))</f>
        <v>1</v>
      </c>
      <c r="X143" s="112">
        <f>ROUND((((2*(B141+C141))*AF143)/1000000),2)</f>
        <v>0</v>
      </c>
      <c r="Y143" s="112">
        <f>((IF(X143&lt;=informatieblad!$H$15,informatieblad!$H$15,IF(X143&gt;=informatieblad!$H$15,X143))))</f>
        <v>0</v>
      </c>
      <c r="Z143" s="113">
        <f>((Y143*AJ143)+(Y143*AC143))*C143</f>
        <v>0</v>
      </c>
      <c r="AA143" s="114">
        <f>((W143*AK143)+(W143*AD143))*C143</f>
        <v>0</v>
      </c>
      <c r="AB143" s="115" t="str">
        <f>G143</f>
        <v>Options None</v>
      </c>
      <c r="AC143" s="115">
        <f>VLOOKUP(G143,informatieblad!$A$37:$D$41,2,FALSE)</f>
        <v>0</v>
      </c>
      <c r="AD143" s="115">
        <f>VLOOKUP(G143,informatieblad!$A$37:$D$41,4,FALSE)</f>
        <v>0</v>
      </c>
      <c r="AE143" s="160">
        <f>(MAX(B141:C141))</f>
        <v>0</v>
      </c>
      <c r="AF143" s="161">
        <f>(MAX(AH143,AG143))</f>
        <v>0</v>
      </c>
      <c r="AG143" s="162">
        <f>ROUND((SQRT((((MAX(E141,F141))^2)+(K141^2)))),0)</f>
        <v>0</v>
      </c>
      <c r="AH143" s="163">
        <f>ROUND((SQRT((((MAX(G141,H141))^2)+(K141^2)))),0)</f>
        <v>0</v>
      </c>
      <c r="AI143" s="119">
        <f>LOOKUP(AE143,informatieblad!$C$27:$C$32,informatieblad!$A$27:$A$32)</f>
        <v>0.5</v>
      </c>
      <c r="AJ143" s="118">
        <f>VLOOKUP(AI143,informatieblad!$A$27:$M$32,6,FALSE)</f>
        <v>0</v>
      </c>
      <c r="AK143" s="118">
        <f>VLOOKUP(AI143,informatieblad!$A$27:$M$32,8,FALSE)</f>
        <v>45.1248</v>
      </c>
      <c r="AL143" s="120">
        <f>VLOOKUP(AI143,informatieblad!$A$27:$M$32,13,FALSE)</f>
        <v>4</v>
      </c>
      <c r="AM143" s="121">
        <f>ROUND((AL143*X143),1)</f>
        <v>0</v>
      </c>
      <c r="AO143" s="111">
        <f>(IF(B142=AO141,((2*B141)+(2*C141)),IF(B142=AO142,((2*B141)+(2*C141)),0)))*C143</f>
        <v>0</v>
      </c>
      <c r="AP143" s="111">
        <f>(IF(B142=AP141,((2*B141)+(2*C141)),IF(B142=AP142,((2*B141)+(2*C141)),0)))*C143</f>
        <v>0</v>
      </c>
      <c r="AQ143" s="261">
        <f>(IF(B142=AQ141,((2*B141)+(2*C141)),IF(B142=AQ142,((2*B141)+(2*C141)),0)))*C143</f>
        <v>0</v>
      </c>
      <c r="AR143" s="283">
        <f>(IF(B142=AR141,((2*B141)+(2*C141)),0))*C143</f>
        <v>0</v>
      </c>
      <c r="AS143" s="72"/>
      <c r="AT143" s="268">
        <f>K141*C143</f>
        <v>0</v>
      </c>
      <c r="AV143" s="83" t="str">
        <f>'UC mounting materials '!$B$11</f>
        <v>Rail 41x41</v>
      </c>
      <c r="AW143" s="268">
        <f>IF(AE143&gt;999,(AE143+100),0)*C143</f>
        <v>0</v>
      </c>
      <c r="AY143" s="111" t="str">
        <f>IF(B142=informatieblad!$A$6,informatieblad!$B$6,IF(B142=informatieblad!$A$7,informatieblad!$B$7,IF(B142=informatieblad!$A$8,informatieblad!$B$8,IF(B142=informatieblad!$A$2,informatieblad!$B$2,IF(B142=informatieblad!$A$3,informatieblad!$B$3,IF(B142=informatieblad!$A$4,informatieblad!$B$4,IF(B142=informatieblad!$A$5,informatieblad!$B$5,"")))))))</f>
        <v/>
      </c>
      <c r="AZ143" s="276">
        <f>IF(AY143=AZ141,(4*C143),0)</f>
        <v>0</v>
      </c>
      <c r="BA143" s="274">
        <f>IF(AY143=BA141,(4*C143),0)</f>
        <v>0</v>
      </c>
    </row>
    <row r="144" spans="1:53" ht="14.25" customHeight="1" thickBot="1">
      <c r="AU144" s="83"/>
      <c r="AV144" s="83"/>
      <c r="AW144" s="83"/>
      <c r="AX144" s="83"/>
      <c r="AY144" s="83"/>
    </row>
    <row r="145" spans="41:53" ht="14.25" customHeight="1">
      <c r="AO145" s="97" t="s">
        <v>66</v>
      </c>
      <c r="AP145" s="99" t="s">
        <v>67</v>
      </c>
      <c r="AQ145" s="99" t="s">
        <v>68</v>
      </c>
      <c r="AR145" s="66" t="s">
        <v>69</v>
      </c>
      <c r="AS145" s="83"/>
      <c r="AT145" s="266" t="s">
        <v>120</v>
      </c>
      <c r="AU145" s="131"/>
      <c r="AV145" s="284" t="str">
        <f>'UC mounting materials '!$B$10</f>
        <v>Rail 30x15</v>
      </c>
      <c r="AW145" s="285" t="str">
        <f>'UC mounting materials '!$B$11</f>
        <v>Rail 41x41</v>
      </c>
      <c r="AX145" s="83"/>
      <c r="AY145" s="83"/>
      <c r="AZ145" s="97" t="s">
        <v>70</v>
      </c>
      <c r="BA145" s="66" t="s">
        <v>71</v>
      </c>
    </row>
    <row r="146" spans="41:53" ht="14.25" customHeight="1" thickBot="1">
      <c r="AO146" s="111">
        <f>SUM(AO27,AO31,AO35,AO39,AO43,AO47,AO51,AO55,AO59,AO63,AO67,AO71,AO75,AO79,AO83,AO87,AO91,AO95,AO99,AO103,AO107,AO111,AO115,AO119,AO123,AO127,AO131,AO135,AO139,AO143)</f>
        <v>0</v>
      </c>
      <c r="AP146" s="261">
        <f>SUM(AP27,AP31,AP35,AP39,AP43,AP47,AP51,AP55,AP59,AP63,AP67,AP71,AP75,AP79,AP83,AP87,AP91,AP95,AP99,AP103,AP107,AP111,AP115,AP119,AP123,AP127,AP131,AP135,AP139,AP143)</f>
        <v>0</v>
      </c>
      <c r="AQ146" s="261">
        <f>SUM(AQ27,AQ31,AQ35,AQ39,AQ43,AQ47,AQ51,AQ55,AQ59,AQ63,AQ67,AQ71,AQ75,AQ79,AQ83,AQ87,AQ91,AQ95,AQ99,AQ103,AQ107,AQ111,AQ115,AQ119,AQ123,AQ127,AQ131,AQ135,AQ139,AQ143)</f>
        <v>0</v>
      </c>
      <c r="AR146" s="260">
        <f>SUM(AR27,AR31,AR35,AR39,AR43,AR47,AR51,AR55,AR59,AR63,AR67,AR71,AR75,AR79,AR83,AR87,AR91,AR95,AR99,AR103,AR107,AR111,AR115,AR119,AR123,AR127,AR131,AR135,AR139,AR143)</f>
        <v>0</v>
      </c>
      <c r="AS146" s="83"/>
      <c r="AT146" s="283">
        <f>SUM(AT27,AT31,AT35,AT39,AT43,AT47,AT51,AT55,AT59,AT63,AT67,AT71,AT75,AT79,AT83,AT87,AT91,AT95,AT99,AT103,AT107,AT111,AT115,AT119,AT123,AT127,AT131,AT135,AT139,AT143)</f>
        <v>0</v>
      </c>
      <c r="AV146" s="111">
        <f>SUM(AW26,AW30,AW34,AW38,AW42,AW46,AW50,AW54)</f>
        <v>0</v>
      </c>
      <c r="AW146" s="283">
        <f>SUM(AW27,AW31,AW35,AW39,AW43,AW47,AW51,AW55,AW59,AW63,AW67,AW71,AW75,AW79,AW83,AW87,AW91,AW95,AW99,AW103,AW107,AW111,AW115,AW119,AW123,AW127,AW131,AW135,AW139,AW143)</f>
        <v>0</v>
      </c>
      <c r="AZ146" s="111">
        <f>SUM(AZ27,AZ31,AZ35,AZ39,AZ43,AZ47,AZ51,AZ55,AZ59,AZ63,AZ67,AZ71,AZ75,AZ79,AZ83,AZ87,AZ91,AZ95,AZ99,AZ103,AZ107,AZ111,AZ115,AZ119,AZ123,AZ127,AZ131,AZ135,AZ139,AZ143)</f>
        <v>0</v>
      </c>
      <c r="BA146" s="260">
        <f>SUM(BA27,BA31,BA35,BA39,BA43,BA47,BA51,BA55,BA59,BA63,BA67,BA71,BA75,BA79,BA83,BA87,BA91,BA95,BA99,BA103,BA107,BA111,BA115,BA119,BA123,BA127,BA131,BA135,BA139,BA143)</f>
        <v>0</v>
      </c>
    </row>
  </sheetData>
  <sheetProtection algorithmName="SHA-512" hashValue="4F7lggnDrAK3u+xsNLH5WaBCAtrxreRiM5AimsT9d6ZorTPYS0Ks61gRUX3+FnRgpGqm3JN6Ud4ElHh3k6BqNA==" saltValue="gTFDdhZXzxfYVQTV1clwVA==" spinCount="100000" sheet="1" objects="1" scenarios="1"/>
  <mergeCells count="124">
    <mergeCell ref="A137:A139"/>
    <mergeCell ref="B138:C138"/>
    <mergeCell ref="H138:J138"/>
    <mergeCell ref="G139:K139"/>
    <mergeCell ref="A141:A143"/>
    <mergeCell ref="B142:C142"/>
    <mergeCell ref="H142:J142"/>
    <mergeCell ref="G143:K143"/>
    <mergeCell ref="A129:A131"/>
    <mergeCell ref="B130:C130"/>
    <mergeCell ref="H130:J130"/>
    <mergeCell ref="G131:K131"/>
    <mergeCell ref="A133:A135"/>
    <mergeCell ref="B134:C134"/>
    <mergeCell ref="H134:J134"/>
    <mergeCell ref="G135:K135"/>
    <mergeCell ref="A121:A123"/>
    <mergeCell ref="B122:C122"/>
    <mergeCell ref="H122:J122"/>
    <mergeCell ref="G123:K123"/>
    <mergeCell ref="A125:A127"/>
    <mergeCell ref="B126:C126"/>
    <mergeCell ref="H126:J126"/>
    <mergeCell ref="G127:K127"/>
    <mergeCell ref="A113:A115"/>
    <mergeCell ref="B114:C114"/>
    <mergeCell ref="H114:J114"/>
    <mergeCell ref="G115:K115"/>
    <mergeCell ref="A117:A119"/>
    <mergeCell ref="B118:C118"/>
    <mergeCell ref="H118:J118"/>
    <mergeCell ref="G119:K119"/>
    <mergeCell ref="A105:A107"/>
    <mergeCell ref="B106:C106"/>
    <mergeCell ref="H106:J106"/>
    <mergeCell ref="G107:K107"/>
    <mergeCell ref="A109:A111"/>
    <mergeCell ref="B110:C110"/>
    <mergeCell ref="H110:J110"/>
    <mergeCell ref="G111:K111"/>
    <mergeCell ref="A97:A99"/>
    <mergeCell ref="B98:C98"/>
    <mergeCell ref="H98:J98"/>
    <mergeCell ref="G99:K99"/>
    <mergeCell ref="A101:A103"/>
    <mergeCell ref="B102:C102"/>
    <mergeCell ref="H102:J102"/>
    <mergeCell ref="G103:K103"/>
    <mergeCell ref="A89:A91"/>
    <mergeCell ref="B90:C90"/>
    <mergeCell ref="H90:J90"/>
    <mergeCell ref="G91:K91"/>
    <mergeCell ref="A93:A95"/>
    <mergeCell ref="B94:C94"/>
    <mergeCell ref="H94:J94"/>
    <mergeCell ref="G95:K95"/>
    <mergeCell ref="A81:A83"/>
    <mergeCell ref="B82:C82"/>
    <mergeCell ref="H82:J82"/>
    <mergeCell ref="G83:K83"/>
    <mergeCell ref="A85:A87"/>
    <mergeCell ref="B86:C86"/>
    <mergeCell ref="H86:J86"/>
    <mergeCell ref="G87:K87"/>
    <mergeCell ref="A73:A75"/>
    <mergeCell ref="B74:C74"/>
    <mergeCell ref="H74:J74"/>
    <mergeCell ref="G75:K75"/>
    <mergeCell ref="A77:A79"/>
    <mergeCell ref="B78:C78"/>
    <mergeCell ref="H78:J78"/>
    <mergeCell ref="G79:K79"/>
    <mergeCell ref="A65:A67"/>
    <mergeCell ref="B66:C66"/>
    <mergeCell ref="H66:J66"/>
    <mergeCell ref="G67:K67"/>
    <mergeCell ref="A69:A71"/>
    <mergeCell ref="B70:C70"/>
    <mergeCell ref="H70:J70"/>
    <mergeCell ref="G71:K71"/>
    <mergeCell ref="A57:A59"/>
    <mergeCell ref="B58:C58"/>
    <mergeCell ref="H58:J58"/>
    <mergeCell ref="G59:K59"/>
    <mergeCell ref="A61:A63"/>
    <mergeCell ref="B62:C62"/>
    <mergeCell ref="H62:J62"/>
    <mergeCell ref="G63:K63"/>
    <mergeCell ref="B22:C22"/>
    <mergeCell ref="A21:A23"/>
    <mergeCell ref="G23:K23"/>
    <mergeCell ref="H22:J22"/>
    <mergeCell ref="H26:J26"/>
    <mergeCell ref="G27:K27"/>
    <mergeCell ref="A29:A31"/>
    <mergeCell ref="B30:C30"/>
    <mergeCell ref="H30:J30"/>
    <mergeCell ref="G31:K31"/>
    <mergeCell ref="A25:A27"/>
    <mergeCell ref="B26:C26"/>
    <mergeCell ref="H34:J34"/>
    <mergeCell ref="G35:K35"/>
    <mergeCell ref="A37:A39"/>
    <mergeCell ref="B38:C38"/>
    <mergeCell ref="A33:A35"/>
    <mergeCell ref="B34:C34"/>
    <mergeCell ref="A41:A43"/>
    <mergeCell ref="B42:C42"/>
    <mergeCell ref="H42:J42"/>
    <mergeCell ref="G43:K43"/>
    <mergeCell ref="A45:A47"/>
    <mergeCell ref="B46:C46"/>
    <mergeCell ref="H46:J46"/>
    <mergeCell ref="G47:K47"/>
    <mergeCell ref="A49:A51"/>
    <mergeCell ref="B50:C50"/>
    <mergeCell ref="H50:J50"/>
    <mergeCell ref="G51:K51"/>
    <mergeCell ref="A53:A55"/>
    <mergeCell ref="B54:C54"/>
    <mergeCell ref="H54:J54"/>
    <mergeCell ref="G55:K55"/>
    <mergeCell ref="H38:J38"/>
    <mergeCell ref="G39:K39"/>
  </mergeCells>
  <phoneticPr fontId="2" type="noConversion"/>
  <conditionalFormatting sqref="K21">
    <cfRule type="cellIs" dxfId="142" priority="31" operator="lessThan">
      <formula>$K22</formula>
    </cfRule>
    <cfRule type="cellIs" dxfId="141" priority="32" operator="notEqual">
      <formula>$K22</formula>
    </cfRule>
  </conditionalFormatting>
  <conditionalFormatting sqref="K25 K57 K113">
    <cfRule type="cellIs" dxfId="140" priority="29" operator="lessThan">
      <formula>$K26</formula>
    </cfRule>
    <cfRule type="cellIs" dxfId="139" priority="30" operator="notEqual">
      <formula>$K26</formula>
    </cfRule>
  </conditionalFormatting>
  <conditionalFormatting sqref="K29 K61 K117">
    <cfRule type="cellIs" dxfId="138" priority="13" operator="lessThan">
      <formula>$K30</formula>
    </cfRule>
    <cfRule type="cellIs" dxfId="137" priority="14" operator="notEqual">
      <formula>$K30</formula>
    </cfRule>
  </conditionalFormatting>
  <conditionalFormatting sqref="K33 K65 K89 K121">
    <cfRule type="cellIs" dxfId="136" priority="11" operator="lessThan">
      <formula>$K34</formula>
    </cfRule>
    <cfRule type="cellIs" dxfId="135" priority="12" operator="notEqual">
      <formula>$K34</formula>
    </cfRule>
  </conditionalFormatting>
  <conditionalFormatting sqref="K37 K69 K93 K125">
    <cfRule type="cellIs" dxfId="134" priority="9" operator="lessThan">
      <formula>$K38</formula>
    </cfRule>
    <cfRule type="cellIs" dxfId="133" priority="10" operator="notEqual">
      <formula>$K38</formula>
    </cfRule>
  </conditionalFormatting>
  <conditionalFormatting sqref="K41 K73 K97 K129">
    <cfRule type="cellIs" dxfId="132" priority="7" operator="lessThan">
      <formula>$K42</formula>
    </cfRule>
    <cfRule type="cellIs" dxfId="131" priority="8" operator="notEqual">
      <formula>$K42</formula>
    </cfRule>
  </conditionalFormatting>
  <conditionalFormatting sqref="K45 K77 K101 K133">
    <cfRule type="cellIs" dxfId="130" priority="5" operator="lessThan">
      <formula>$K46</formula>
    </cfRule>
    <cfRule type="cellIs" dxfId="129" priority="6" operator="notEqual">
      <formula>$K46</formula>
    </cfRule>
  </conditionalFormatting>
  <conditionalFormatting sqref="K49 K81 K105 K137">
    <cfRule type="cellIs" dxfId="128" priority="3" operator="lessThan">
      <formula>$K50</formula>
    </cfRule>
    <cfRule type="cellIs" dxfId="127" priority="4" operator="notEqual">
      <formula>$K50</formula>
    </cfRule>
  </conditionalFormatting>
  <conditionalFormatting sqref="K53 K85 K109 K141">
    <cfRule type="cellIs" dxfId="126" priority="1" operator="lessThan">
      <formula>$K54</formula>
    </cfRule>
    <cfRule type="cellIs" dxfId="125" priority="2" operator="notEqual">
      <formula>$K54</formula>
    </cfRule>
  </conditionalFormatting>
  <dataValidations disablePrompts="1" count="2">
    <dataValidation type="list" allowBlank="1" showInputMessage="1" showErrorMessage="1" sqref="B26:C26 B30:C30 B34:C34 B38:C38 B42:C42 B46:C46 B50:C50 B54:C54 B58:C58 B62:C62 B66:C66 B70:C70 B74:C74 B78:C78 B82:C82 B86:C86 B90:C90 B94:C94 B98:C98 B102:C102 B106:C106 B110:C110 B114:C114 B118:C118 B122:C122 B126:C126 B130:C130 B134:C134 B138:C138 B142:C142" xr:uid="{C3D31D71-C2CF-4773-B061-9CA3CDF6BE0B}">
      <formula1>Options_flanges</formula1>
    </dataValidation>
    <dataValidation type="list" allowBlank="1" showInputMessage="1" showErrorMessage="1" sqref="G23:K23 G27:K27 G31:K31 G35:K35 G39:K39 G43:K43 G47:K47 G51:K51 G55:K55 G83:K83 G59:K59 G63:K63 G67:K67 G71:K71 G75:K75 G79:K79 G87:K87 G143:K143 G91:K91 G95:K95 G99:K99 G103:K103 G107:K107 G111:K111 G139:K139 G115:K115 G119:K119 G123:K123 G127:K127 G131:K131 G135:K135" xr:uid="{2256AA0A-A566-4E3B-BD95-03E09158CFBC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45B8-A0BB-4D54-9E95-0E219E7C38A7}">
  <sheetPr codeName="Blad4">
    <tabColor rgb="FF7030A0"/>
  </sheetPr>
  <dimension ref="A1:BL140"/>
  <sheetViews>
    <sheetView showGridLines="0" showZeros="0" view="pageBreakPreview" zoomScaleNormal="100" zoomScaleSheetLayoutView="100" workbookViewId="0">
      <pane xSplit="9" ySplit="16" topLeftCell="J17" activePane="bottomRight" state="frozen"/>
      <selection pane="bottomRight" activeCell="A21" sqref="A21:A23"/>
      <selection pane="bottomLeft" activeCell="A17" sqref="A17"/>
      <selection pane="topRight" activeCell="J1" sqref="J1"/>
    </sheetView>
  </sheetViews>
  <sheetFormatPr defaultColWidth="9.140625" defaultRowHeight="14.25"/>
  <cols>
    <col min="1" max="1" width="10.28515625" style="64" customWidth="1"/>
    <col min="2" max="4" width="13.7109375" style="64" customWidth="1"/>
    <col min="5" max="6" width="10.7109375" style="64" customWidth="1"/>
    <col min="7" max="9" width="8.28515625" style="64" customWidth="1"/>
    <col min="10" max="10" width="50.7109375" style="64" customWidth="1"/>
    <col min="11" max="12" width="0" style="64" hidden="1" customWidth="1"/>
    <col min="13" max="17" width="9.140625" style="64" hidden="1" customWidth="1"/>
    <col min="18" max="18" width="16.42578125" style="64" hidden="1" customWidth="1"/>
    <col min="19" max="19" width="9.85546875" style="64" hidden="1" customWidth="1"/>
    <col min="20" max="20" width="10.140625" style="64" hidden="1" customWidth="1"/>
    <col min="21" max="21" width="19.140625" style="64" hidden="1" customWidth="1"/>
    <col min="22" max="22" width="9.85546875" style="64" hidden="1" customWidth="1"/>
    <col min="23" max="23" width="23.28515625" style="64" hidden="1" customWidth="1"/>
    <col min="24" max="24" width="24.85546875" style="64" hidden="1" customWidth="1"/>
    <col min="25" max="26" width="20.28515625" style="64" hidden="1" customWidth="1"/>
    <col min="27" max="27" width="9.5703125" style="64" hidden="1" customWidth="1"/>
    <col min="28" max="28" width="8.28515625" style="64" hidden="1" customWidth="1"/>
    <col min="29" max="31" width="15.28515625" style="64" hidden="1" customWidth="1"/>
    <col min="32" max="32" width="16" style="64" hidden="1" customWidth="1"/>
    <col min="33" max="33" width="19.140625" style="64" hidden="1" customWidth="1"/>
    <col min="34" max="35" width="12.85546875" style="64" hidden="1" customWidth="1"/>
    <col min="36" max="37" width="9.42578125" style="64" hidden="1" customWidth="1"/>
    <col min="38" max="38" width="0" style="64" hidden="1" customWidth="1"/>
    <col min="39" max="39" width="14.28515625" style="64" hidden="1" customWidth="1"/>
    <col min="40" max="40" width="13.5703125" style="64" hidden="1" customWidth="1"/>
    <col min="41" max="41" width="10.7109375" style="64" hidden="1" customWidth="1"/>
    <col min="42" max="42" width="14.28515625" style="64" hidden="1" customWidth="1"/>
    <col min="43" max="43" width="13.5703125" style="64" hidden="1" customWidth="1"/>
    <col min="44" max="44" width="10.7109375" style="64" hidden="1" customWidth="1"/>
    <col min="45" max="45" width="14.28515625" style="64" hidden="1" customWidth="1"/>
    <col min="46" max="46" width="13.5703125" style="64" hidden="1" customWidth="1"/>
    <col min="47" max="47" width="10.7109375" style="64" hidden="1" customWidth="1"/>
    <col min="48" max="48" width="0" style="64" hidden="1" customWidth="1"/>
    <col min="49" max="49" width="13.5703125" style="64" hidden="1" customWidth="1"/>
    <col min="50" max="50" width="10.7109375" style="64" hidden="1" customWidth="1"/>
    <col min="51" max="51" width="1.7109375" style="64" hidden="1" customWidth="1"/>
    <col min="52" max="52" width="0" style="64" hidden="1" customWidth="1"/>
    <col min="53" max="53" width="1.7109375" style="64" hidden="1" customWidth="1"/>
    <col min="54" max="54" width="0" style="64" hidden="1" customWidth="1"/>
    <col min="55" max="55" width="1.7109375" style="64" hidden="1" customWidth="1"/>
    <col min="56" max="56" width="14.28515625" style="64" hidden="1" customWidth="1"/>
    <col min="57" max="59" width="0" style="64" hidden="1" customWidth="1"/>
    <col min="60" max="60" width="11" style="64" hidden="1" customWidth="1"/>
    <col min="61" max="61" width="10.140625" style="64" hidden="1" customWidth="1"/>
    <col min="62" max="62" width="12.5703125" style="64" hidden="1" customWidth="1"/>
    <col min="63" max="63" width="0" style="64" hidden="1" customWidth="1"/>
    <col min="64" max="64" width="10.140625" style="64" hidden="1" customWidth="1"/>
    <col min="65" max="16384" width="9.140625" style="64"/>
  </cols>
  <sheetData>
    <row r="1" spans="1:24">
      <c r="A1" s="61"/>
      <c r="B1" s="62"/>
      <c r="C1" s="62"/>
      <c r="D1" s="62"/>
      <c r="E1" s="62"/>
      <c r="F1" s="62"/>
      <c r="G1" s="62"/>
      <c r="H1" s="62"/>
      <c r="I1" s="63"/>
      <c r="S1" s="65" t="str">
        <f>informatieblad!$F$12&amp;" "&amp;informatieblad!$D$16</f>
        <v>Total aantal of T-stukken  (RctT)</v>
      </c>
      <c r="T1" s="62"/>
      <c r="U1" s="62"/>
      <c r="V1" s="62"/>
      <c r="W1" s="62"/>
      <c r="X1" s="66">
        <f>C23+C27+C31+C35+C39+C43+C47+C51+C55+C59+C63+C67+C71+C75+C79+C83+C87+C91+C95+C99+C103+C107+C111+C115+C119+C123+C127+C131+C135+C139</f>
        <v>0</v>
      </c>
    </row>
    <row r="2" spans="1:24">
      <c r="A2" s="67"/>
      <c r="I2" s="68"/>
      <c r="S2" s="69" t="str">
        <f>informatieblad!$F$13</f>
        <v>Total purchase price</v>
      </c>
      <c r="X2" s="343">
        <f>X23+X27+X31+X35+X39+X43+X47+X51+X55+X59+X63+X67+X71+X75+X79+X83+X87+X91+X95+X99+X103+X107+X111+X115+X119+X123+X127+X131+X135+X139</f>
        <v>0</v>
      </c>
    </row>
    <row r="3" spans="1:24" ht="15" thickBot="1">
      <c r="A3" s="67"/>
      <c r="I3" s="68"/>
      <c r="S3" s="71" t="str">
        <f>informatieblad!$F$14</f>
        <v>Total sales price</v>
      </c>
      <c r="T3" s="72"/>
      <c r="U3" s="72"/>
      <c r="V3" s="72"/>
      <c r="W3" s="72"/>
      <c r="X3" s="238">
        <f>Y23+Y27+Y31+Y35+Y39+Y43+Y47+Y51+Y55+Y59+Y63+Y67+Y71+Y75+Y79+Y83+Y87+Y91+Y95+Y99+Y103+Y107+Y111+Y115+Y119+Y123+Y127+Y131+Y135+Y139</f>
        <v>0</v>
      </c>
    </row>
    <row r="4" spans="1:24">
      <c r="A4" s="67"/>
      <c r="I4" s="433" t="str">
        <f>informatieblad!D16</f>
        <v>T-stukken  (RctT)</v>
      </c>
    </row>
    <row r="5" spans="1:24">
      <c r="A5" s="67"/>
      <c r="F5" s="133"/>
      <c r="I5" s="68"/>
    </row>
    <row r="6" spans="1:24">
      <c r="A6" s="67"/>
      <c r="I6" s="68"/>
    </row>
    <row r="7" spans="1:24">
      <c r="A7" s="67"/>
      <c r="I7" s="68"/>
    </row>
    <row r="8" spans="1:24">
      <c r="A8" s="67"/>
      <c r="I8" s="68"/>
    </row>
    <row r="9" spans="1:24">
      <c r="A9" s="67"/>
      <c r="F9" s="64" t="s">
        <v>97</v>
      </c>
      <c r="H9" s="192">
        <v>120</v>
      </c>
      <c r="I9" s="68"/>
    </row>
    <row r="10" spans="1:24">
      <c r="A10" s="67"/>
      <c r="F10" s="64" t="s">
        <v>98</v>
      </c>
      <c r="H10" s="192">
        <v>30</v>
      </c>
      <c r="I10" s="68"/>
    </row>
    <row r="11" spans="1:24">
      <c r="A11" s="67"/>
      <c r="F11" s="64" t="s">
        <v>99</v>
      </c>
      <c r="H11" s="192">
        <v>30</v>
      </c>
      <c r="I11" s="68"/>
    </row>
    <row r="12" spans="1:24">
      <c r="A12" s="67"/>
      <c r="F12" s="64" t="s">
        <v>121</v>
      </c>
      <c r="H12" s="192">
        <v>30</v>
      </c>
      <c r="I12" s="68"/>
    </row>
    <row r="13" spans="1:24">
      <c r="A13" s="67"/>
      <c r="I13" s="68"/>
    </row>
    <row r="14" spans="1:24" ht="15" thickBot="1">
      <c r="A14" s="76"/>
      <c r="B14" s="72"/>
      <c r="C14" s="72"/>
      <c r="D14" s="72"/>
      <c r="E14" s="72"/>
      <c r="F14" s="72"/>
      <c r="G14" s="72"/>
      <c r="H14" s="72"/>
      <c r="I14" s="77"/>
    </row>
    <row r="15" spans="1:24" ht="5.0999999999999996" customHeight="1" thickBot="1">
      <c r="A15" s="67"/>
      <c r="I15" s="68"/>
    </row>
    <row r="16" spans="1:24" ht="15" thickBot="1">
      <c r="A16" s="193" t="s">
        <v>14</v>
      </c>
      <c r="B16" s="194" t="s">
        <v>72</v>
      </c>
      <c r="C16" s="194" t="s">
        <v>74</v>
      </c>
      <c r="D16" s="194" t="s">
        <v>122</v>
      </c>
      <c r="E16" s="194" t="s">
        <v>16</v>
      </c>
      <c r="F16" s="194" t="s">
        <v>123</v>
      </c>
      <c r="G16" s="194" t="s">
        <v>101</v>
      </c>
      <c r="H16" s="194" t="s">
        <v>102</v>
      </c>
      <c r="I16" s="195" t="s">
        <v>124</v>
      </c>
      <c r="J16" s="280" t="s">
        <v>18</v>
      </c>
    </row>
    <row r="17" spans="1:64" ht="15" thickBot="1">
      <c r="A17" s="464" t="s">
        <v>19</v>
      </c>
      <c r="B17" s="84">
        <v>500</v>
      </c>
      <c r="C17" s="167">
        <v>500</v>
      </c>
      <c r="D17" s="84">
        <v>1000</v>
      </c>
      <c r="E17" s="84">
        <v>500</v>
      </c>
      <c r="F17" s="167">
        <v>120</v>
      </c>
      <c r="G17" s="167">
        <v>30</v>
      </c>
      <c r="H17" s="167">
        <v>30</v>
      </c>
      <c r="I17" s="196">
        <v>30</v>
      </c>
      <c r="J17" s="345" t="s">
        <v>20</v>
      </c>
    </row>
    <row r="18" spans="1:64">
      <c r="A18" s="493"/>
      <c r="B18" s="197" t="s">
        <v>80</v>
      </c>
      <c r="C18" s="197" t="s">
        <v>80</v>
      </c>
      <c r="D18" s="198" t="s">
        <v>21</v>
      </c>
      <c r="E18" s="190" t="s">
        <v>125</v>
      </c>
      <c r="F18" s="174"/>
      <c r="G18" s="174"/>
      <c r="H18" s="174"/>
      <c r="I18" s="199"/>
      <c r="J18" s="83"/>
    </row>
    <row r="19" spans="1:64" ht="15.75" thickBot="1">
      <c r="A19" s="477"/>
      <c r="B19" s="92" t="s">
        <v>23</v>
      </c>
      <c r="C19" s="93">
        <v>1</v>
      </c>
      <c r="D19" s="123">
        <v>4.3099999999999996</v>
      </c>
      <c r="E19" s="141" t="s">
        <v>24</v>
      </c>
      <c r="F19" s="200"/>
      <c r="G19" s="457" t="s">
        <v>25</v>
      </c>
      <c r="H19" s="520"/>
      <c r="I19" s="521"/>
      <c r="J19" s="176"/>
    </row>
    <row r="20" spans="1:64" ht="5.0999999999999996" customHeight="1" thickBot="1">
      <c r="A20" s="201"/>
      <c r="B20" s="88"/>
      <c r="C20" s="88"/>
      <c r="D20" s="88"/>
      <c r="E20" s="88"/>
      <c r="F20" s="88"/>
      <c r="G20" s="88"/>
      <c r="H20" s="88"/>
      <c r="I20" s="146"/>
    </row>
    <row r="21" spans="1:64" ht="15" thickBot="1">
      <c r="A21" s="445"/>
      <c r="B21" s="96"/>
      <c r="C21" s="299">
        <f>B21</f>
        <v>0</v>
      </c>
      <c r="D21" s="96"/>
      <c r="E21" s="96"/>
      <c r="F21" s="299">
        <f>(B21&gt;0)*$H$9</f>
        <v>0</v>
      </c>
      <c r="G21" s="299">
        <f>(C21&gt;0)*$H$10</f>
        <v>0</v>
      </c>
      <c r="H21" s="299">
        <f>(D21&gt;0)*$H$11</f>
        <v>0</v>
      </c>
      <c r="I21" s="301">
        <f>(E21&gt;0)*$H$12</f>
        <v>0</v>
      </c>
      <c r="J21" s="345" t="s">
        <v>20</v>
      </c>
      <c r="S21" s="97" t="s">
        <v>14</v>
      </c>
      <c r="T21" s="98" t="s">
        <v>27</v>
      </c>
      <c r="U21" s="98" t="s">
        <v>28</v>
      </c>
      <c r="V21" s="98" t="s">
        <v>27</v>
      </c>
      <c r="W21" s="98" t="s">
        <v>28</v>
      </c>
      <c r="X21" s="98" t="s">
        <v>29</v>
      </c>
      <c r="Y21" s="66" t="s">
        <v>30</v>
      </c>
      <c r="Z21" s="153" t="s">
        <v>31</v>
      </c>
      <c r="AA21" s="153"/>
      <c r="AB21" s="153"/>
      <c r="AC21" s="154" t="s">
        <v>83</v>
      </c>
      <c r="AD21" s="100" t="s">
        <v>83</v>
      </c>
      <c r="AE21" s="100" t="s">
        <v>83</v>
      </c>
      <c r="AF21" s="100" t="s">
        <v>33</v>
      </c>
      <c r="AG21" s="100" t="s">
        <v>34</v>
      </c>
      <c r="AH21" s="98" t="s">
        <v>32</v>
      </c>
      <c r="AI21" s="98" t="s">
        <v>32</v>
      </c>
      <c r="AJ21" s="98" t="s">
        <v>35</v>
      </c>
      <c r="AK21" s="101" t="s">
        <v>36</v>
      </c>
      <c r="AM21" s="97" t="str">
        <f>informatieblad!$A$6</f>
        <v>FL20</v>
      </c>
      <c r="AN21" s="99"/>
      <c r="AO21" s="99"/>
      <c r="AP21" s="97" t="str">
        <f>informatieblad!$A$7</f>
        <v>FL30</v>
      </c>
      <c r="AQ21" s="99"/>
      <c r="AR21" s="66"/>
      <c r="AS21" s="99" t="str">
        <f>informatieblad!$A$8</f>
        <v>FL40</v>
      </c>
      <c r="AT21" s="99"/>
      <c r="AU21" s="66"/>
      <c r="AV21" s="97" t="str">
        <f>informatieblad!$A$5</f>
        <v>none</v>
      </c>
      <c r="AW21" s="99"/>
      <c r="AX21" s="264"/>
      <c r="AY21" s="83"/>
      <c r="AZ21" s="266" t="s">
        <v>17</v>
      </c>
      <c r="BA21" s="131"/>
      <c r="BB21" s="266" t="s">
        <v>37</v>
      </c>
      <c r="BC21" s="131"/>
      <c r="BD21" s="269" t="s">
        <v>38</v>
      </c>
      <c r="BE21" s="272"/>
      <c r="BF21" s="272"/>
      <c r="BG21" s="289">
        <f>informatieblad!$B$3</f>
        <v>0</v>
      </c>
      <c r="BH21" s="272"/>
      <c r="BI21" s="272"/>
      <c r="BJ21" s="289">
        <f>informatieblad!$B$4</f>
        <v>0</v>
      </c>
      <c r="BK21" s="272"/>
      <c r="BL21" s="264"/>
    </row>
    <row r="22" spans="1:64">
      <c r="A22" s="446"/>
      <c r="B22" s="202" t="str">
        <f>IF($C23&gt;0,IF(MAX(B21,E21)&lt;informatieblad!$Q$4,informatieblad!$P$3,IF(MAX(B21,E21)&gt;informatieblad!$R$4,informatieblad!$P$5,informatieblad!$P$4)),"")</f>
        <v/>
      </c>
      <c r="C22" s="202" t="str">
        <f>IF($C23&gt;0,IF(MAX(C21,E21)&lt;informatieblad!$Q$4,informatieblad!$P$3,IF(MAX(C21,E21)&gt;informatieblad!$R$4,informatieblad!$P$5,informatieblad!$P$4)),"")</f>
        <v/>
      </c>
      <c r="D22" s="203" t="str">
        <f>IF($C23&gt;0,IF(MAX(D21,E21)&lt;informatieblad!$Q$4,informatieblad!$P$3,IF(MAX(D21,E21)&gt;informatieblad!$R$4,informatieblad!$P$5,informatieblad!$P$4)),"")</f>
        <v/>
      </c>
      <c r="E22" s="190" t="str">
        <f>A21&amp;"-"&amp;informatieblad!$B$16&amp;"-"&amp;B21&amp;"-"&amp;C21&amp;"-"&amp;D21&amp;"-"&amp;E21&amp;"-"&amp;F21&amp;"-"&amp;G21&amp;"-"&amp;H21&amp;"-"&amp;I21&amp;"-"&amp;B22&amp;"-"&amp;C22&amp;"-"&amp;D22&amp;"-"&amp;G23</f>
        <v>-RctT--0---0-0-0-0----Options None</v>
      </c>
      <c r="F22" s="174"/>
      <c r="G22" s="174"/>
      <c r="H22" s="174"/>
      <c r="I22" s="199"/>
      <c r="J22" s="83"/>
      <c r="S22" s="103">
        <f>A21</f>
        <v>0</v>
      </c>
      <c r="T22" s="104" t="s">
        <v>39</v>
      </c>
      <c r="U22" s="104" t="s">
        <v>39</v>
      </c>
      <c r="V22" s="104" t="s">
        <v>40</v>
      </c>
      <c r="W22" s="104" t="s">
        <v>40</v>
      </c>
      <c r="X22" s="104" t="s">
        <v>40</v>
      </c>
      <c r="Y22" s="105"/>
      <c r="Z22" s="155" t="s">
        <v>27</v>
      </c>
      <c r="AA22" s="155" t="s">
        <v>40</v>
      </c>
      <c r="AB22" s="155" t="s">
        <v>41</v>
      </c>
      <c r="AC22" s="156" t="s">
        <v>105</v>
      </c>
      <c r="AD22" s="104" t="s">
        <v>106</v>
      </c>
      <c r="AE22" s="107" t="s">
        <v>87</v>
      </c>
      <c r="AF22" s="107" t="s">
        <v>44</v>
      </c>
      <c r="AG22" s="107"/>
      <c r="AH22" s="104" t="s">
        <v>40</v>
      </c>
      <c r="AI22" s="104" t="s">
        <v>41</v>
      </c>
      <c r="AJ22" s="108"/>
      <c r="AK22" s="109"/>
      <c r="AM22" s="262" t="str">
        <f>informatieblad!$A$2</f>
        <v>FL20 loose</v>
      </c>
      <c r="AN22" s="263"/>
      <c r="AO22" s="263"/>
      <c r="AP22" s="262" t="str">
        <f>informatieblad!$A$3</f>
        <v>FL30 loose</v>
      </c>
      <c r="AQ22" s="263"/>
      <c r="AR22" s="105"/>
      <c r="AS22" s="263" t="str">
        <f>informatieblad!$A$4</f>
        <v>FL40 loose</v>
      </c>
      <c r="AT22" s="263"/>
      <c r="AU22" s="105"/>
      <c r="AV22" s="265"/>
      <c r="AW22" s="106"/>
      <c r="AX22" s="105"/>
      <c r="AY22" s="83"/>
      <c r="AZ22" s="267"/>
      <c r="BA22" s="83"/>
      <c r="BB22" s="267"/>
      <c r="BC22" s="83"/>
      <c r="BD22" s="265" t="s">
        <v>47</v>
      </c>
      <c r="BE22" s="106" t="s">
        <v>48</v>
      </c>
      <c r="BF22" s="106" t="s">
        <v>48</v>
      </c>
      <c r="BG22" s="290" t="s">
        <v>23</v>
      </c>
      <c r="BH22" s="83" t="s">
        <v>23</v>
      </c>
      <c r="BI22" s="83" t="s">
        <v>23</v>
      </c>
      <c r="BJ22" s="290" t="s">
        <v>23</v>
      </c>
      <c r="BK22" s="83" t="s">
        <v>23</v>
      </c>
      <c r="BL22" s="273" t="s">
        <v>23</v>
      </c>
    </row>
    <row r="23" spans="1:64" ht="15.75" thickBot="1">
      <c r="A23" s="447"/>
      <c r="B23" s="92" t="s">
        <v>23</v>
      </c>
      <c r="C23" s="110"/>
      <c r="D23" s="94">
        <f>C23*U23</f>
        <v>0</v>
      </c>
      <c r="E23" s="141" t="s">
        <v>24</v>
      </c>
      <c r="F23" s="200"/>
      <c r="G23" s="457" t="s">
        <v>25</v>
      </c>
      <c r="H23" s="491"/>
      <c r="I23" s="492"/>
      <c r="J23" s="176"/>
      <c r="S23" s="111"/>
      <c r="T23" s="112">
        <f>(((2*(B21+E21))*(D21+G21+H21+F21))+((2*(D21+E21))*(C21+I21+F21)))/1000000</f>
        <v>0</v>
      </c>
      <c r="U23" s="112">
        <f>((IF(T23&lt;=informatieblad!$I$16,informatieblad!$I$16,IF(T23&gt;=informatieblad!$I$16,T23))))</f>
        <v>0.5</v>
      </c>
      <c r="V23" s="112">
        <f>(((2*(B21+E21))*(D21+G21+H21+F21))+((2*(D21+E21))*(C21+I21+F21)))/1000000</f>
        <v>0</v>
      </c>
      <c r="W23" s="112">
        <f>((IF(V23&lt;=informatieblad!$H$16,informatieblad!$H$16,IF(V23&gt;=informatieblad!$H$16,V23))))</f>
        <v>0</v>
      </c>
      <c r="X23" s="113">
        <f>((W23*AH23)+(W23*AA23))*C23</f>
        <v>0</v>
      </c>
      <c r="Y23" s="114">
        <f>((U23*AI23)+(U23*AB23))*C23</f>
        <v>0</v>
      </c>
      <c r="Z23" s="115" t="str">
        <f>G23</f>
        <v>Options None</v>
      </c>
      <c r="AA23" s="115">
        <f>VLOOKUP(G23,informatieblad!$A$37:$D$41,2,FALSE)</f>
        <v>0</v>
      </c>
      <c r="AB23" s="115">
        <f>VLOOKUP(G23,informatieblad!$A$37:$D$41,4,FALSE)</f>
        <v>0</v>
      </c>
      <c r="AC23" s="180">
        <f>(MAX(J21,K21))</f>
        <v>0</v>
      </c>
      <c r="AD23" s="119">
        <f>(MAX(L21,M21))</f>
        <v>0</v>
      </c>
      <c r="AE23" s="119">
        <f>(MAX(J21,L21))</f>
        <v>0</v>
      </c>
      <c r="AF23" s="119">
        <f>(MAX(B21:E21))</f>
        <v>0</v>
      </c>
      <c r="AG23" s="119">
        <f>LOOKUP(AF23,informatieblad!$C$27:$C$32,informatieblad!$A$27:$A$32)</f>
        <v>0.5</v>
      </c>
      <c r="AH23" s="118">
        <f>VLOOKUP(AG23,informatieblad!$A$27:$M$32,6,FALSE)</f>
        <v>0</v>
      </c>
      <c r="AI23" s="118">
        <f>VLOOKUP(AG23,informatieblad!$A$27:$M$32,8,FALSE)</f>
        <v>45.1248</v>
      </c>
      <c r="AJ23" s="120">
        <f>VLOOKUP(AG23,informatieblad!$A$27:$M$32,13,FALSE)</f>
        <v>4</v>
      </c>
      <c r="AK23" s="121">
        <f>ROUND((AJ23*V23),1)</f>
        <v>0</v>
      </c>
      <c r="AM23" s="111">
        <f>(IF(B22=AM21,((2*B21)+(2*E21)),IF(B22=AM22,((2*B21)+(2*E21)),0)))*C23</f>
        <v>0</v>
      </c>
      <c r="AN23" s="261">
        <f>(IF(C22=AM21,((2*C21)+(2*E21)),IF(C22=AM22,((2*C21)+(2*E21)),0)))*C23</f>
        <v>0</v>
      </c>
      <c r="AO23" s="261">
        <f>(IF(D22=AM21,((2*D21)+(2*E21)),IF(D22=AM22,((2*D21)+(2*E21)),0)))*C23</f>
        <v>0</v>
      </c>
      <c r="AP23" s="111">
        <f>(IF(B22=AP21,((2*B21)+(2*E21)),IF(B22=AP22,((2*B21)+(2*E21)),0)))*C23</f>
        <v>0</v>
      </c>
      <c r="AQ23" s="261">
        <f>(IF(C22=AP21,((2*C21)+(2*E21)),IF(C22=AP22,((2*C21)+(2*E21)),0)))*C23</f>
        <v>0</v>
      </c>
      <c r="AR23" s="260">
        <f>(IF(D22=AP21,((2*D21)+(2*E21)),IF(D22=AP22,((2*D21)+(2*E21)),0)))*C23</f>
        <v>0</v>
      </c>
      <c r="AS23" s="261">
        <f>(IF(B22=AS21,((2*B21)+(2*E21)),IF(B22=AS22,((2*B21)+(2*E21)),0)))*C23</f>
        <v>0</v>
      </c>
      <c r="AT23" s="261">
        <f>(IF(C22=AS21,((2*C21)+(2*E21)),IF(C22=AS22,((2*C21)+(2*E21)),0)))*C23</f>
        <v>0</v>
      </c>
      <c r="AU23" s="260">
        <f>(IF(D22=AS21,((2*D21)+(2*E21)),IF(D22=AS22,((2*D21)+(2*E21)),0)))*C23</f>
        <v>0</v>
      </c>
      <c r="AV23" s="111">
        <f>(IF(B22=AV21,((2*B21)+(2*E21)),0))*C23</f>
        <v>0</v>
      </c>
      <c r="AW23" s="261">
        <f>(IF(C22=AV21,((2*C21)+(2*E21)),0))*C23</f>
        <v>0</v>
      </c>
      <c r="AX23" s="260">
        <f>(IF(D22=AV21,((2*D21)+(2*E21)),0))*C23</f>
        <v>0</v>
      </c>
      <c r="AY23" s="83"/>
      <c r="AZ23" s="268">
        <f>(D21+H9+H9+G21+I21)*C23</f>
        <v>0</v>
      </c>
      <c r="BA23" s="83"/>
      <c r="BB23" s="268">
        <f>(AE23+100)*C23</f>
        <v>0</v>
      </c>
      <c r="BC23" s="83"/>
      <c r="BD23" s="111" t="str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/>
      </c>
      <c r="BE23" s="275" t="str">
        <f>IF(C22=informatieblad!$A$6,informatieblad!$B$6,IF(C22=informatieblad!$A$7,informatieblad!$B$7,IF(C22=informatieblad!$A$8,informatieblad!$B$8,IF(C22=informatieblad!$A$2,informatieblad!$B$2,IF(C22=informatieblad!$A$3,informatieblad!$B$3,IF(C22=informatieblad!$A$4,informatieblad!$B$4,IF(C22=informatieblad!$A$5,informatieblad!$B$5,"")))))))</f>
        <v/>
      </c>
      <c r="BF23" s="276" t="str">
        <f>IF(D22=informatieblad!$A$6,informatieblad!$B$6,IF(D22=informatieblad!$A$7,informatieblad!$B$7,IF(D22=informatieblad!$A$8,informatieblad!$B$8,IF(D22=informatieblad!$A$2,informatieblad!$B$2,IF(D22=informatieblad!$A$3,informatieblad!$B$3,IF(D22=informatieblad!$A$4,informatieblad!$B$4,IF(D22=informatieblad!$A$5,informatieblad!$B$5,"")))))))</f>
        <v/>
      </c>
      <c r="BG23" s="276">
        <f>IF(BD23=BG21,(4*C23),0)</f>
        <v>0</v>
      </c>
      <c r="BH23" s="276">
        <f>IF(BE23=BG21,(4*C23),0)</f>
        <v>0</v>
      </c>
      <c r="BI23" s="276">
        <f>IF(BF23=BG21,(4*C23),0)</f>
        <v>0</v>
      </c>
      <c r="BJ23" s="275">
        <f>IF(BD23=BJ21,(4*C23),0)</f>
        <v>0</v>
      </c>
      <c r="BK23" s="276">
        <f>IF(BE23=BJ21,(4*C23),0)</f>
        <v>0</v>
      </c>
      <c r="BL23" s="274">
        <f>IF(BF23=BJ21,(4*C23),0)</f>
        <v>0</v>
      </c>
    </row>
    <row r="24" spans="1:64" ht="5.0999999999999996" customHeight="1" thickBot="1">
      <c r="A24" s="145"/>
      <c r="B24" s="122"/>
      <c r="C24" s="122"/>
      <c r="D24" s="122"/>
      <c r="E24" s="122"/>
      <c r="F24" s="122"/>
      <c r="G24" s="122"/>
      <c r="H24" s="122"/>
      <c r="I24" s="146"/>
    </row>
    <row r="25" spans="1:64" ht="15" thickBot="1">
      <c r="A25" s="445"/>
      <c r="B25" s="96"/>
      <c r="C25" s="300">
        <f>B25</f>
        <v>0</v>
      </c>
      <c r="D25" s="96"/>
      <c r="E25" s="96"/>
      <c r="F25" s="300">
        <f>(B25&gt;0)*$H$9</f>
        <v>0</v>
      </c>
      <c r="G25" s="300">
        <f>(C25&gt;0)*$H$10</f>
        <v>0</v>
      </c>
      <c r="H25" s="300">
        <f>(D25&gt;0)*$H$11</f>
        <v>0</v>
      </c>
      <c r="I25" s="302">
        <f>(E25&gt;0)*$H$12</f>
        <v>0</v>
      </c>
      <c r="J25" s="345" t="s">
        <v>20</v>
      </c>
      <c r="S25" s="97" t="s">
        <v>14</v>
      </c>
      <c r="T25" s="98" t="s">
        <v>27</v>
      </c>
      <c r="U25" s="98" t="s">
        <v>28</v>
      </c>
      <c r="V25" s="98" t="s">
        <v>27</v>
      </c>
      <c r="W25" s="98" t="s">
        <v>28</v>
      </c>
      <c r="X25" s="98" t="s">
        <v>29</v>
      </c>
      <c r="Y25" s="66" t="s">
        <v>30</v>
      </c>
      <c r="Z25" s="153" t="s">
        <v>31</v>
      </c>
      <c r="AA25" s="153"/>
      <c r="AB25" s="153"/>
      <c r="AC25" s="154" t="s">
        <v>83</v>
      </c>
      <c r="AD25" s="100" t="s">
        <v>83</v>
      </c>
      <c r="AE25" s="100" t="s">
        <v>83</v>
      </c>
      <c r="AF25" s="100" t="s">
        <v>33</v>
      </c>
      <c r="AG25" s="100" t="s">
        <v>34</v>
      </c>
      <c r="AH25" s="98" t="s">
        <v>32</v>
      </c>
      <c r="AI25" s="98" t="s">
        <v>32</v>
      </c>
      <c r="AJ25" s="98" t="s">
        <v>35</v>
      </c>
      <c r="AK25" s="101" t="s">
        <v>36</v>
      </c>
      <c r="AM25" s="97" t="str">
        <f>informatieblad!$A$6</f>
        <v>FL20</v>
      </c>
      <c r="AN25" s="99"/>
      <c r="AO25" s="99"/>
      <c r="AP25" s="97" t="str">
        <f>informatieblad!$A$7</f>
        <v>FL30</v>
      </c>
      <c r="AQ25" s="99"/>
      <c r="AR25" s="66"/>
      <c r="AS25" s="99" t="str">
        <f>informatieblad!$A$8</f>
        <v>FL40</v>
      </c>
      <c r="AT25" s="99"/>
      <c r="AU25" s="66"/>
      <c r="AV25" s="97" t="str">
        <f>informatieblad!$A$5</f>
        <v>none</v>
      </c>
      <c r="AW25" s="99"/>
      <c r="AX25" s="264"/>
      <c r="AY25" s="83"/>
      <c r="AZ25" s="266" t="s">
        <v>17</v>
      </c>
      <c r="BA25" s="131"/>
      <c r="BB25" s="266" t="s">
        <v>37</v>
      </c>
      <c r="BC25" s="131"/>
      <c r="BD25" s="269" t="s">
        <v>38</v>
      </c>
      <c r="BE25" s="272"/>
      <c r="BF25" s="272"/>
      <c r="BG25" s="289">
        <f>informatieblad!$B$3</f>
        <v>0</v>
      </c>
      <c r="BH25" s="272"/>
      <c r="BI25" s="272"/>
      <c r="BJ25" s="289">
        <f>informatieblad!$B$4</f>
        <v>0</v>
      </c>
      <c r="BK25" s="272"/>
      <c r="BL25" s="264"/>
    </row>
    <row r="26" spans="1:64">
      <c r="A26" s="446"/>
      <c r="B26" s="202" t="str">
        <f>IF($C27&gt;0,IF(MAX(B25,E25)&lt;informatieblad!$Q$4,informatieblad!$P$3,IF(MAX(B25,E25)&gt;informatieblad!$R$4,informatieblad!$P$5,informatieblad!$P$4)),"")</f>
        <v/>
      </c>
      <c r="C26" s="202" t="str">
        <f>IF($C27&gt;0,IF(MAX(C25,E25)&lt;informatieblad!$Q$4,informatieblad!$P$3,IF(MAX(C25,E25)&gt;informatieblad!$R$4,informatieblad!$P$5,informatieblad!$P$4)),"")</f>
        <v/>
      </c>
      <c r="D26" s="203" t="str">
        <f>IF($C27&gt;0,IF(MAX(D25,E25)&lt;informatieblad!$Q$4,informatieblad!$P$3,IF(MAX(D25,E25)&gt;informatieblad!$R$4,informatieblad!$P$5,informatieblad!$P$4)),"")</f>
        <v/>
      </c>
      <c r="E26" s="190" t="str">
        <f>A25&amp;"-"&amp;informatieblad!$B$16&amp;"-"&amp;B25&amp;"-"&amp;C25&amp;"-"&amp;D25&amp;"-"&amp;E25&amp;"-"&amp;F25&amp;"-"&amp;G25&amp;"-"&amp;H25&amp;"-"&amp;I25&amp;"-"&amp;B26&amp;"-"&amp;C26&amp;"-"&amp;D26&amp;"-"&amp;G27</f>
        <v>-RctT--0---0-0-0-0----Options None</v>
      </c>
      <c r="F26" s="174"/>
      <c r="G26" s="174"/>
      <c r="H26" s="174"/>
      <c r="I26" s="199"/>
      <c r="J26" s="83"/>
      <c r="S26" s="103">
        <f>A25</f>
        <v>0</v>
      </c>
      <c r="T26" s="104" t="s">
        <v>39</v>
      </c>
      <c r="U26" s="104" t="s">
        <v>39</v>
      </c>
      <c r="V26" s="104" t="s">
        <v>40</v>
      </c>
      <c r="W26" s="104" t="s">
        <v>40</v>
      </c>
      <c r="X26" s="104" t="s">
        <v>40</v>
      </c>
      <c r="Y26" s="105"/>
      <c r="Z26" s="155" t="s">
        <v>27</v>
      </c>
      <c r="AA26" s="155" t="s">
        <v>40</v>
      </c>
      <c r="AB26" s="155" t="s">
        <v>41</v>
      </c>
      <c r="AC26" s="156" t="s">
        <v>105</v>
      </c>
      <c r="AD26" s="104" t="s">
        <v>106</v>
      </c>
      <c r="AE26" s="107" t="s">
        <v>87</v>
      </c>
      <c r="AF26" s="107" t="s">
        <v>44</v>
      </c>
      <c r="AG26" s="107"/>
      <c r="AH26" s="104" t="s">
        <v>40</v>
      </c>
      <c r="AI26" s="104" t="s">
        <v>41</v>
      </c>
      <c r="AJ26" s="108"/>
      <c r="AK26" s="109"/>
      <c r="AM26" s="262" t="str">
        <f>informatieblad!$A$2</f>
        <v>FL20 loose</v>
      </c>
      <c r="AN26" s="263"/>
      <c r="AO26" s="263"/>
      <c r="AP26" s="262" t="str">
        <f>informatieblad!$A$3</f>
        <v>FL30 loose</v>
      </c>
      <c r="AQ26" s="263"/>
      <c r="AR26" s="105"/>
      <c r="AS26" s="263" t="str">
        <f>informatieblad!$A$4</f>
        <v>FL40 loose</v>
      </c>
      <c r="AT26" s="263"/>
      <c r="AU26" s="105"/>
      <c r="AV26" s="265"/>
      <c r="AW26" s="106"/>
      <c r="AX26" s="105"/>
      <c r="AY26" s="83"/>
      <c r="AZ26" s="267"/>
      <c r="BA26" s="83"/>
      <c r="BB26" s="267"/>
      <c r="BC26" s="83"/>
      <c r="BD26" s="265" t="s">
        <v>47</v>
      </c>
      <c r="BE26" s="106" t="s">
        <v>48</v>
      </c>
      <c r="BF26" s="106" t="s">
        <v>48</v>
      </c>
      <c r="BG26" s="290" t="s">
        <v>23</v>
      </c>
      <c r="BH26" s="83" t="s">
        <v>23</v>
      </c>
      <c r="BI26" s="83" t="s">
        <v>23</v>
      </c>
      <c r="BJ26" s="290" t="s">
        <v>23</v>
      </c>
      <c r="BK26" s="83" t="s">
        <v>23</v>
      </c>
      <c r="BL26" s="273" t="s">
        <v>23</v>
      </c>
    </row>
    <row r="27" spans="1:64" ht="15.75" thickBot="1">
      <c r="A27" s="447"/>
      <c r="B27" s="92" t="s">
        <v>23</v>
      </c>
      <c r="C27" s="110"/>
      <c r="D27" s="94">
        <f>C27*U27</f>
        <v>0</v>
      </c>
      <c r="E27" s="141" t="s">
        <v>24</v>
      </c>
      <c r="F27" s="200"/>
      <c r="G27" s="457" t="s">
        <v>25</v>
      </c>
      <c r="H27" s="491"/>
      <c r="I27" s="492"/>
      <c r="J27" s="176"/>
      <c r="S27" s="111"/>
      <c r="T27" s="112">
        <f>(((2*(B25+E25))*(D25+G25+H25+F25))+((2*(D25+E25))*(C25+I25+F25)))/1000000</f>
        <v>0</v>
      </c>
      <c r="U27" s="112">
        <f>((IF(T27&lt;=informatieblad!$I$16,informatieblad!$I$16,IF(T27&gt;=informatieblad!$I$16,T27))))</f>
        <v>0.5</v>
      </c>
      <c r="V27" s="112">
        <f>(((2*(B25+E25))*(D25+G25+H25+F25))+((2*(D25+E25))*(C25+I25+F25)))/1000000</f>
        <v>0</v>
      </c>
      <c r="W27" s="112">
        <f>((IF(V27&lt;=informatieblad!$H$16,informatieblad!$H$16,IF(V27&gt;=informatieblad!$H$16,V27))))</f>
        <v>0</v>
      </c>
      <c r="X27" s="113">
        <f>((W27*AH27)+(W27*AA27))*C27</f>
        <v>0</v>
      </c>
      <c r="Y27" s="114">
        <f>((U27*AI27)+(U27*AB27))*C27</f>
        <v>0</v>
      </c>
      <c r="Z27" s="115" t="str">
        <f>G27</f>
        <v>Options None</v>
      </c>
      <c r="AA27" s="115">
        <f>VLOOKUP(G27,informatieblad!$A$37:$D$41,2,FALSE)</f>
        <v>0</v>
      </c>
      <c r="AB27" s="115">
        <f>VLOOKUP(G27,informatieblad!$A$37:$D$41,4,FALSE)</f>
        <v>0</v>
      </c>
      <c r="AC27" s="180">
        <f>(MAX(J25,K25))</f>
        <v>0</v>
      </c>
      <c r="AD27" s="119">
        <f>(MAX(L25,M25))</f>
        <v>0</v>
      </c>
      <c r="AE27" s="119">
        <f>(MAX(J25,L25))</f>
        <v>0</v>
      </c>
      <c r="AF27" s="119">
        <f>(MAX(B25:E25))</f>
        <v>0</v>
      </c>
      <c r="AG27" s="119">
        <f>LOOKUP(AF27,informatieblad!$C$27:$C$32,informatieblad!$A$27:$A$32)</f>
        <v>0.5</v>
      </c>
      <c r="AH27" s="118">
        <f>VLOOKUP(AG27,informatieblad!$A$27:$M$32,6,FALSE)</f>
        <v>0</v>
      </c>
      <c r="AI27" s="118">
        <f>VLOOKUP(AG27,informatieblad!$A$27:$M$32,8,FALSE)</f>
        <v>45.1248</v>
      </c>
      <c r="AJ27" s="120">
        <f>VLOOKUP(AG27,informatieblad!$A$27:$M$32,13,FALSE)</f>
        <v>4</v>
      </c>
      <c r="AK27" s="121">
        <f>ROUND((AJ27*V27),1)</f>
        <v>0</v>
      </c>
      <c r="AM27" s="111">
        <f>(IF(B26=AM25,((2*B25)+(2*E25)),IF(B26=AM26,((2*B25)+(2*E25)),0)))*C27</f>
        <v>0</v>
      </c>
      <c r="AN27" s="261">
        <f>(IF(C26=AM25,((2*C25)+(2*E25)),IF(C26=AM26,((2*C25)+(2*E25)),0)))*C27</f>
        <v>0</v>
      </c>
      <c r="AO27" s="261">
        <f>(IF(D26=AM25,((2*D25)+(2*E25)),IF(D26=AM26,((2*D25)+(2*E25)),0)))*C27</f>
        <v>0</v>
      </c>
      <c r="AP27" s="111">
        <f>(IF(B26=AP25,((2*B25)+(2*E25)),IF(B26=AP26,((2*B25)+(2*E25)),0)))*C27</f>
        <v>0</v>
      </c>
      <c r="AQ27" s="261">
        <f>(IF(C26=AP25,((2*C25)+(2*E25)),IF(C26=AP26,((2*C25)+(2*E25)),0)))*C27</f>
        <v>0</v>
      </c>
      <c r="AR27" s="260">
        <f>(IF(D26=AP25,((2*D25)+(2*E25)),IF(D26=AP26,((2*D25)+(2*E25)),0)))*C27</f>
        <v>0</v>
      </c>
      <c r="AS27" s="261">
        <f>(IF(B26=AS25,((2*B25)+(2*E25)),IF(B26=AS26,((2*B25)+(2*E25)),0)))*C27</f>
        <v>0</v>
      </c>
      <c r="AT27" s="261">
        <f>(IF(C26=AS25,((2*C25)+(2*E25)),IF(C26=AS26,((2*C25)+(2*E25)),0)))*C27</f>
        <v>0</v>
      </c>
      <c r="AU27" s="260">
        <f>(IF(D26=AS25,((2*D25)+(2*E25)),IF(D26=AS26,((2*D25)+(2*E25)),0)))*C27</f>
        <v>0</v>
      </c>
      <c r="AV27" s="111">
        <f>(IF(B26=AV25,((2*B25)+(2*E25)),0))*C27</f>
        <v>0</v>
      </c>
      <c r="AW27" s="261">
        <f>(IF(C26=AV25,((2*C25)+(2*E25)),0))*C27</f>
        <v>0</v>
      </c>
      <c r="AX27" s="260">
        <f>(IF(D26=AV25,((2*D25)+(2*E25)),0))*C27</f>
        <v>0</v>
      </c>
      <c r="AY27" s="83"/>
      <c r="AZ27" s="268">
        <f>(D25+H13+H13+G25+I25)*C27</f>
        <v>0</v>
      </c>
      <c r="BA27" s="83"/>
      <c r="BB27" s="268">
        <f>(AE27+100)*C27</f>
        <v>0</v>
      </c>
      <c r="BC27" s="83"/>
      <c r="BD27" s="111" t="str">
        <f>IF(B26=informatieblad!$A$6,informatieblad!$B$6,IF(B26=informatieblad!$A$7,informatieblad!$B$7,IF(B26=informatieblad!$A$8,informatieblad!$B$8,IF(B26=informatieblad!$A$2,informatieblad!$B$2,IF(B26=informatieblad!$A$3,informatieblad!$B$3,IF(B26=informatieblad!$A$4,informatieblad!$B$4,IF(B26=informatieblad!$A$5,informatieblad!$B$5,"")))))))</f>
        <v/>
      </c>
      <c r="BE27" s="275" t="str">
        <f>IF(C26=informatieblad!$A$6,informatieblad!$B$6,IF(C26=informatieblad!$A$7,informatieblad!$B$7,IF(C26=informatieblad!$A$8,informatieblad!$B$8,IF(C26=informatieblad!$A$2,informatieblad!$B$2,IF(C26=informatieblad!$A$3,informatieblad!$B$3,IF(C26=informatieblad!$A$4,informatieblad!$B$4,IF(C26=informatieblad!$A$5,informatieblad!$B$5,"")))))))</f>
        <v/>
      </c>
      <c r="BF27" s="276" t="str">
        <f>IF(D26=informatieblad!$A$6,informatieblad!$B$6,IF(D26=informatieblad!$A$7,informatieblad!$B$7,IF(D26=informatieblad!$A$8,informatieblad!$B$8,IF(D26=informatieblad!$A$2,informatieblad!$B$2,IF(D26=informatieblad!$A$3,informatieblad!$B$3,IF(D26=informatieblad!$A$4,informatieblad!$B$4,IF(D26=informatieblad!$A$5,informatieblad!$B$5,"")))))))</f>
        <v/>
      </c>
      <c r="BG27" s="276">
        <f>IF(BD27=BG25,(4*C27),0)</f>
        <v>0</v>
      </c>
      <c r="BH27" s="276">
        <f>IF(BE27=BG25,(4*C27),0)</f>
        <v>0</v>
      </c>
      <c r="BI27" s="276">
        <f>IF(BF27=BG25,(4*C27),0)</f>
        <v>0</v>
      </c>
      <c r="BJ27" s="275">
        <f>IF(BD27=BJ25,(4*C27),0)</f>
        <v>0</v>
      </c>
      <c r="BK27" s="276">
        <f>IF(BE27=BJ25,(4*C27),0)</f>
        <v>0</v>
      </c>
      <c r="BL27" s="274">
        <f>IF(BF27=BJ25,(4*C27),0)</f>
        <v>0</v>
      </c>
    </row>
    <row r="28" spans="1:64" ht="5.0999999999999996" customHeight="1" thickBot="1">
      <c r="A28" s="145"/>
      <c r="B28" s="122"/>
      <c r="C28" s="122"/>
      <c r="D28" s="122"/>
      <c r="E28" s="122"/>
      <c r="F28" s="122"/>
      <c r="G28" s="122"/>
      <c r="H28" s="122"/>
      <c r="I28" s="146"/>
    </row>
    <row r="29" spans="1:64" ht="15" thickBot="1">
      <c r="A29" s="445"/>
      <c r="B29" s="96"/>
      <c r="C29" s="300">
        <f>B29</f>
        <v>0</v>
      </c>
      <c r="D29" s="96"/>
      <c r="E29" s="96"/>
      <c r="F29" s="300">
        <f>(B29&gt;0)*$H$9</f>
        <v>0</v>
      </c>
      <c r="G29" s="300">
        <f>(C29&gt;0)*$H$10</f>
        <v>0</v>
      </c>
      <c r="H29" s="300">
        <f>(D29&gt;0)*$H$11</f>
        <v>0</v>
      </c>
      <c r="I29" s="302">
        <f>(E29&gt;0)*$H$12</f>
        <v>0</v>
      </c>
      <c r="J29" s="345" t="s">
        <v>20</v>
      </c>
      <c r="S29" s="97" t="s">
        <v>14</v>
      </c>
      <c r="T29" s="98" t="s">
        <v>27</v>
      </c>
      <c r="U29" s="98" t="s">
        <v>28</v>
      </c>
      <c r="V29" s="98" t="s">
        <v>27</v>
      </c>
      <c r="W29" s="98" t="s">
        <v>28</v>
      </c>
      <c r="X29" s="98" t="s">
        <v>29</v>
      </c>
      <c r="Y29" s="66" t="s">
        <v>30</v>
      </c>
      <c r="Z29" s="153" t="s">
        <v>31</v>
      </c>
      <c r="AA29" s="153"/>
      <c r="AB29" s="153"/>
      <c r="AC29" s="154" t="s">
        <v>83</v>
      </c>
      <c r="AD29" s="100" t="s">
        <v>83</v>
      </c>
      <c r="AE29" s="100" t="s">
        <v>83</v>
      </c>
      <c r="AF29" s="100" t="s">
        <v>33</v>
      </c>
      <c r="AG29" s="100" t="s">
        <v>34</v>
      </c>
      <c r="AH29" s="98" t="s">
        <v>32</v>
      </c>
      <c r="AI29" s="98" t="s">
        <v>32</v>
      </c>
      <c r="AJ29" s="98" t="s">
        <v>35</v>
      </c>
      <c r="AK29" s="101" t="s">
        <v>36</v>
      </c>
      <c r="AM29" s="97" t="str">
        <f>informatieblad!$A$6</f>
        <v>FL20</v>
      </c>
      <c r="AN29" s="99"/>
      <c r="AO29" s="99"/>
      <c r="AP29" s="97" t="str">
        <f>informatieblad!$A$7</f>
        <v>FL30</v>
      </c>
      <c r="AQ29" s="99"/>
      <c r="AR29" s="66"/>
      <c r="AS29" s="99" t="str">
        <f>informatieblad!$A$8</f>
        <v>FL40</v>
      </c>
      <c r="AT29" s="99"/>
      <c r="AU29" s="66"/>
      <c r="AV29" s="97" t="str">
        <f>informatieblad!$A$5</f>
        <v>none</v>
      </c>
      <c r="AW29" s="99"/>
      <c r="AX29" s="264"/>
      <c r="AY29" s="83"/>
      <c r="AZ29" s="266" t="s">
        <v>17</v>
      </c>
      <c r="BA29" s="131"/>
      <c r="BB29" s="266" t="s">
        <v>37</v>
      </c>
      <c r="BC29" s="131"/>
      <c r="BD29" s="269" t="s">
        <v>38</v>
      </c>
      <c r="BE29" s="272"/>
      <c r="BF29" s="272"/>
      <c r="BG29" s="289">
        <f>informatieblad!$B$3</f>
        <v>0</v>
      </c>
      <c r="BH29" s="272"/>
      <c r="BI29" s="272"/>
      <c r="BJ29" s="289">
        <f>informatieblad!$B$4</f>
        <v>0</v>
      </c>
      <c r="BK29" s="272"/>
      <c r="BL29" s="264"/>
    </row>
    <row r="30" spans="1:64">
      <c r="A30" s="446"/>
      <c r="B30" s="202" t="str">
        <f>IF($C31&gt;0,IF(MAX(B29,E29)&lt;informatieblad!$Q$4,informatieblad!$P$3,IF(MAX(B29,E29)&gt;informatieblad!$R$4,informatieblad!$P$5,informatieblad!$P$4)),"")</f>
        <v/>
      </c>
      <c r="C30" s="202" t="str">
        <f>IF($C31&gt;0,IF(MAX(C29,E29)&lt;informatieblad!$Q$4,informatieblad!$P$3,IF(MAX(C29,E29)&gt;informatieblad!$R$4,informatieblad!$P$5,informatieblad!$P$4)),"")</f>
        <v/>
      </c>
      <c r="D30" s="203" t="str">
        <f>IF($C31&gt;0,IF(MAX(D29,E29)&lt;informatieblad!$Q$4,informatieblad!$P$3,IF(MAX(D29,E29)&gt;informatieblad!$R$4,informatieblad!$P$5,informatieblad!$P$4)),"")</f>
        <v/>
      </c>
      <c r="E30" s="190" t="str">
        <f>A29&amp;"-"&amp;informatieblad!$B$16&amp;"-"&amp;B29&amp;"-"&amp;C29&amp;"-"&amp;D29&amp;"-"&amp;E29&amp;"-"&amp;F29&amp;"-"&amp;G29&amp;"-"&amp;H29&amp;"-"&amp;I29&amp;"-"&amp;B30&amp;"-"&amp;C30&amp;"-"&amp;D30&amp;"-"&amp;G31</f>
        <v>-RctT--0---0-0-0-0----Options None</v>
      </c>
      <c r="F30" s="174"/>
      <c r="G30" s="174"/>
      <c r="H30" s="174"/>
      <c r="I30" s="199"/>
      <c r="J30" s="83"/>
      <c r="S30" s="103">
        <f>A29</f>
        <v>0</v>
      </c>
      <c r="T30" s="104" t="s">
        <v>39</v>
      </c>
      <c r="U30" s="104" t="s">
        <v>39</v>
      </c>
      <c r="V30" s="104" t="s">
        <v>40</v>
      </c>
      <c r="W30" s="104" t="s">
        <v>40</v>
      </c>
      <c r="X30" s="104" t="s">
        <v>40</v>
      </c>
      <c r="Y30" s="105"/>
      <c r="Z30" s="155" t="s">
        <v>27</v>
      </c>
      <c r="AA30" s="155" t="s">
        <v>40</v>
      </c>
      <c r="AB30" s="155" t="s">
        <v>41</v>
      </c>
      <c r="AC30" s="156" t="s">
        <v>105</v>
      </c>
      <c r="AD30" s="104" t="s">
        <v>106</v>
      </c>
      <c r="AE30" s="107" t="s">
        <v>87</v>
      </c>
      <c r="AF30" s="107" t="s">
        <v>44</v>
      </c>
      <c r="AG30" s="107"/>
      <c r="AH30" s="104" t="s">
        <v>40</v>
      </c>
      <c r="AI30" s="104" t="s">
        <v>41</v>
      </c>
      <c r="AJ30" s="108"/>
      <c r="AK30" s="109"/>
      <c r="AM30" s="262" t="str">
        <f>informatieblad!$A$2</f>
        <v>FL20 loose</v>
      </c>
      <c r="AN30" s="263"/>
      <c r="AO30" s="263"/>
      <c r="AP30" s="262" t="str">
        <f>informatieblad!$A$3</f>
        <v>FL30 loose</v>
      </c>
      <c r="AQ30" s="263"/>
      <c r="AR30" s="105"/>
      <c r="AS30" s="263" t="str">
        <f>informatieblad!$A$4</f>
        <v>FL40 loose</v>
      </c>
      <c r="AT30" s="263"/>
      <c r="AU30" s="105"/>
      <c r="AV30" s="265"/>
      <c r="AW30" s="106"/>
      <c r="AX30" s="105"/>
      <c r="AY30" s="83"/>
      <c r="AZ30" s="267"/>
      <c r="BA30" s="83"/>
      <c r="BB30" s="267"/>
      <c r="BC30" s="83"/>
      <c r="BD30" s="265" t="s">
        <v>47</v>
      </c>
      <c r="BE30" s="106" t="s">
        <v>48</v>
      </c>
      <c r="BF30" s="106" t="s">
        <v>48</v>
      </c>
      <c r="BG30" s="290" t="s">
        <v>23</v>
      </c>
      <c r="BH30" s="83" t="s">
        <v>23</v>
      </c>
      <c r="BI30" s="83" t="s">
        <v>23</v>
      </c>
      <c r="BJ30" s="290" t="s">
        <v>23</v>
      </c>
      <c r="BK30" s="83" t="s">
        <v>23</v>
      </c>
      <c r="BL30" s="273" t="s">
        <v>23</v>
      </c>
    </row>
    <row r="31" spans="1:64" ht="15.75" thickBot="1">
      <c r="A31" s="447"/>
      <c r="B31" s="92" t="s">
        <v>23</v>
      </c>
      <c r="C31" s="110"/>
      <c r="D31" s="94">
        <f>C31*U31</f>
        <v>0</v>
      </c>
      <c r="E31" s="141" t="s">
        <v>24</v>
      </c>
      <c r="F31" s="200"/>
      <c r="G31" s="457" t="s">
        <v>25</v>
      </c>
      <c r="H31" s="491"/>
      <c r="I31" s="492"/>
      <c r="J31" s="176"/>
      <c r="S31" s="111"/>
      <c r="T31" s="112">
        <f>(((2*(B29+E29))*(D29+G29+H29+F29))+((2*(D29+E29))*(C29+I29+F29)))/1000000</f>
        <v>0</v>
      </c>
      <c r="U31" s="112">
        <f>((IF(T31&lt;=informatieblad!$I$16,informatieblad!$I$16,IF(T31&gt;=informatieblad!$I$16,T31))))</f>
        <v>0.5</v>
      </c>
      <c r="V31" s="112">
        <f>(((2*(B29+E29))*(D29+G29+H29+F29))+((2*(D29+E29))*(C29+I29+F29)))/1000000</f>
        <v>0</v>
      </c>
      <c r="W31" s="112">
        <f>((IF(V31&lt;=informatieblad!$H$16,informatieblad!$H$16,IF(V31&gt;=informatieblad!$H$16,V31))))</f>
        <v>0</v>
      </c>
      <c r="X31" s="113">
        <f>((W31*AH31)+(W31*AA31))*C31</f>
        <v>0</v>
      </c>
      <c r="Y31" s="114">
        <f>((U31*AI31)+(U31*AB31))*C31</f>
        <v>0</v>
      </c>
      <c r="Z31" s="115" t="str">
        <f>G31</f>
        <v>Options None</v>
      </c>
      <c r="AA31" s="115">
        <f>VLOOKUP(G31,informatieblad!$A$37:$D$41,2,FALSE)</f>
        <v>0</v>
      </c>
      <c r="AB31" s="115">
        <f>VLOOKUP(G31,informatieblad!$A$37:$D$41,4,FALSE)</f>
        <v>0</v>
      </c>
      <c r="AC31" s="180">
        <f>(MAX(J29,K29))</f>
        <v>0</v>
      </c>
      <c r="AD31" s="119">
        <f>(MAX(L29,M29))</f>
        <v>0</v>
      </c>
      <c r="AE31" s="119">
        <f>(MAX(J29,L29))</f>
        <v>0</v>
      </c>
      <c r="AF31" s="119">
        <f>(MAX(B29:E29))</f>
        <v>0</v>
      </c>
      <c r="AG31" s="119">
        <f>LOOKUP(AF31,informatieblad!$C$27:$C$32,informatieblad!$A$27:$A$32)</f>
        <v>0.5</v>
      </c>
      <c r="AH31" s="118">
        <f>VLOOKUP(AG31,informatieblad!$A$27:$M$32,6,FALSE)</f>
        <v>0</v>
      </c>
      <c r="AI31" s="118">
        <f>VLOOKUP(AG31,informatieblad!$A$27:$M$32,8,FALSE)</f>
        <v>45.1248</v>
      </c>
      <c r="AJ31" s="120">
        <f>VLOOKUP(AG31,informatieblad!$A$27:$M$32,13,FALSE)</f>
        <v>4</v>
      </c>
      <c r="AK31" s="121">
        <f>ROUND((AJ31*V31),1)</f>
        <v>0</v>
      </c>
      <c r="AM31" s="111">
        <f>(IF(B30=AM29,((2*B29)+(2*E29)),IF(B30=AM30,((2*B29)+(2*E29)),0)))*C31</f>
        <v>0</v>
      </c>
      <c r="AN31" s="261">
        <f>(IF(C30=AM29,((2*C29)+(2*E29)),IF(C30=AM30,((2*C29)+(2*E29)),0)))*C31</f>
        <v>0</v>
      </c>
      <c r="AO31" s="261">
        <f>(IF(D30=AM29,((2*D29)+(2*E29)),IF(D30=AM30,((2*D29)+(2*E29)),0)))*C31</f>
        <v>0</v>
      </c>
      <c r="AP31" s="111">
        <f>(IF(B30=AP29,((2*B29)+(2*E29)),IF(B30=AP30,((2*B29)+(2*E29)),0)))*C31</f>
        <v>0</v>
      </c>
      <c r="AQ31" s="261">
        <f>(IF(C30=AP29,((2*C29)+(2*E29)),IF(C30=AP30,((2*C29)+(2*E29)),0)))*C31</f>
        <v>0</v>
      </c>
      <c r="AR31" s="260">
        <f>(IF(D30=AP29,((2*D29)+(2*E29)),IF(D30=AP30,((2*D29)+(2*E29)),0)))*C31</f>
        <v>0</v>
      </c>
      <c r="AS31" s="261">
        <f>(IF(B30=AS29,((2*B29)+(2*E29)),IF(B30=AS30,((2*B29)+(2*E29)),0)))*C31</f>
        <v>0</v>
      </c>
      <c r="AT31" s="261">
        <f>(IF(C30=AS29,((2*C29)+(2*E29)),IF(C30=AS30,((2*C29)+(2*E29)),0)))*C31</f>
        <v>0</v>
      </c>
      <c r="AU31" s="260">
        <f>(IF(D30=AS29,((2*D29)+(2*E29)),IF(D30=AS30,((2*D29)+(2*E29)),0)))*C31</f>
        <v>0</v>
      </c>
      <c r="AV31" s="111">
        <f>(IF(B30=AV29,((2*B29)+(2*E29)),0))*C31</f>
        <v>0</v>
      </c>
      <c r="AW31" s="261">
        <f>(IF(C30=AV29,((2*C29)+(2*E29)),0))*C31</f>
        <v>0</v>
      </c>
      <c r="AX31" s="260">
        <f>(IF(D30=AV29,((2*D29)+(2*E29)),0))*C31</f>
        <v>0</v>
      </c>
      <c r="AY31" s="83"/>
      <c r="AZ31" s="268">
        <f>(D29+H17+H17+G29+I29)*C31</f>
        <v>0</v>
      </c>
      <c r="BA31" s="83"/>
      <c r="BB31" s="268">
        <f>(AE31+100)*C31</f>
        <v>0</v>
      </c>
      <c r="BC31" s="83"/>
      <c r="BD31" s="111" t="str">
        <f>IF(B30=informatieblad!$A$6,informatieblad!$B$6,IF(B30=informatieblad!$A$7,informatieblad!$B$7,IF(B30=informatieblad!$A$8,informatieblad!$B$8,IF(B30=informatieblad!$A$2,informatieblad!$B$2,IF(B30=informatieblad!$A$3,informatieblad!$B$3,IF(B30=informatieblad!$A$4,informatieblad!$B$4,IF(B30=informatieblad!$A$5,informatieblad!$B$5,"")))))))</f>
        <v/>
      </c>
      <c r="BE31" s="275" t="str">
        <f>IF(C30=informatieblad!$A$6,informatieblad!$B$6,IF(C30=informatieblad!$A$7,informatieblad!$B$7,IF(C30=informatieblad!$A$8,informatieblad!$B$8,IF(C30=informatieblad!$A$2,informatieblad!$B$2,IF(C30=informatieblad!$A$3,informatieblad!$B$3,IF(C30=informatieblad!$A$4,informatieblad!$B$4,IF(C30=informatieblad!$A$5,informatieblad!$B$5,"")))))))</f>
        <v/>
      </c>
      <c r="BF31" s="276" t="str">
        <f>IF(D30=informatieblad!$A$6,informatieblad!$B$6,IF(D30=informatieblad!$A$7,informatieblad!$B$7,IF(D30=informatieblad!$A$8,informatieblad!$B$8,IF(D30=informatieblad!$A$2,informatieblad!$B$2,IF(D30=informatieblad!$A$3,informatieblad!$B$3,IF(D30=informatieblad!$A$4,informatieblad!$B$4,IF(D30=informatieblad!$A$5,informatieblad!$B$5,"")))))))</f>
        <v/>
      </c>
      <c r="BG31" s="276">
        <f>IF(BD31=BG29,(4*C31),0)</f>
        <v>0</v>
      </c>
      <c r="BH31" s="276">
        <f>IF(BE31=BG29,(4*C31),0)</f>
        <v>0</v>
      </c>
      <c r="BI31" s="276">
        <f>IF(BF31=BG29,(4*C31),0)</f>
        <v>0</v>
      </c>
      <c r="BJ31" s="275">
        <f>IF(BD31=BJ29,(4*C31),0)</f>
        <v>0</v>
      </c>
      <c r="BK31" s="276">
        <f>IF(BE31=BJ29,(4*C31),0)</f>
        <v>0</v>
      </c>
      <c r="BL31" s="274">
        <f>IF(BF31=BJ29,(4*C31),0)</f>
        <v>0</v>
      </c>
    </row>
    <row r="32" spans="1:64" ht="5.0999999999999996" customHeight="1" thickBot="1">
      <c r="A32" s="145"/>
      <c r="B32" s="122"/>
      <c r="C32" s="122"/>
      <c r="D32" s="122"/>
      <c r="E32" s="122"/>
      <c r="F32" s="122"/>
      <c r="G32" s="122"/>
      <c r="H32" s="122"/>
      <c r="I32" s="146"/>
    </row>
    <row r="33" spans="1:64" ht="15" thickBot="1">
      <c r="A33" s="445"/>
      <c r="B33" s="96"/>
      <c r="C33" s="300">
        <f>B33</f>
        <v>0</v>
      </c>
      <c r="D33" s="96"/>
      <c r="E33" s="96"/>
      <c r="F33" s="300">
        <f>(B33&gt;0)*$H$9</f>
        <v>0</v>
      </c>
      <c r="G33" s="300">
        <f>(C33&gt;0)*$H$10</f>
        <v>0</v>
      </c>
      <c r="H33" s="300">
        <f>(D33&gt;0)*$H$11</f>
        <v>0</v>
      </c>
      <c r="I33" s="302">
        <f>(E33&gt;0)*$H$12</f>
        <v>0</v>
      </c>
      <c r="J33" s="345" t="s">
        <v>20</v>
      </c>
      <c r="S33" s="97" t="s">
        <v>14</v>
      </c>
      <c r="T33" s="98" t="s">
        <v>27</v>
      </c>
      <c r="U33" s="98" t="s">
        <v>28</v>
      </c>
      <c r="V33" s="98" t="s">
        <v>27</v>
      </c>
      <c r="W33" s="98" t="s">
        <v>28</v>
      </c>
      <c r="X33" s="98" t="s">
        <v>29</v>
      </c>
      <c r="Y33" s="66" t="s">
        <v>30</v>
      </c>
      <c r="Z33" s="153" t="s">
        <v>31</v>
      </c>
      <c r="AA33" s="153"/>
      <c r="AB33" s="153"/>
      <c r="AC33" s="154" t="s">
        <v>83</v>
      </c>
      <c r="AD33" s="100" t="s">
        <v>83</v>
      </c>
      <c r="AE33" s="100" t="s">
        <v>83</v>
      </c>
      <c r="AF33" s="100" t="s">
        <v>33</v>
      </c>
      <c r="AG33" s="100" t="s">
        <v>34</v>
      </c>
      <c r="AH33" s="98" t="s">
        <v>32</v>
      </c>
      <c r="AI33" s="98" t="s">
        <v>32</v>
      </c>
      <c r="AJ33" s="98" t="s">
        <v>35</v>
      </c>
      <c r="AK33" s="101" t="s">
        <v>36</v>
      </c>
      <c r="AM33" s="97" t="str">
        <f>informatieblad!$A$6</f>
        <v>FL20</v>
      </c>
      <c r="AN33" s="99"/>
      <c r="AO33" s="99"/>
      <c r="AP33" s="97" t="str">
        <f>informatieblad!$A$7</f>
        <v>FL30</v>
      </c>
      <c r="AQ33" s="99"/>
      <c r="AR33" s="66"/>
      <c r="AS33" s="99" t="str">
        <f>informatieblad!$A$8</f>
        <v>FL40</v>
      </c>
      <c r="AT33" s="99"/>
      <c r="AU33" s="66"/>
      <c r="AV33" s="97" t="str">
        <f>informatieblad!$A$5</f>
        <v>none</v>
      </c>
      <c r="AW33" s="99"/>
      <c r="AX33" s="264"/>
      <c r="AY33" s="83"/>
      <c r="AZ33" s="266" t="s">
        <v>17</v>
      </c>
      <c r="BA33" s="131"/>
      <c r="BB33" s="266" t="s">
        <v>37</v>
      </c>
      <c r="BC33" s="131"/>
      <c r="BD33" s="269" t="s">
        <v>38</v>
      </c>
      <c r="BE33" s="272"/>
      <c r="BF33" s="272"/>
      <c r="BG33" s="289">
        <f>informatieblad!$B$3</f>
        <v>0</v>
      </c>
      <c r="BH33" s="272"/>
      <c r="BI33" s="272"/>
      <c r="BJ33" s="289">
        <f>informatieblad!$B$4</f>
        <v>0</v>
      </c>
      <c r="BK33" s="272"/>
      <c r="BL33" s="264"/>
    </row>
    <row r="34" spans="1:64">
      <c r="A34" s="446"/>
      <c r="B34" s="202" t="str">
        <f>IF($C35&gt;0,IF(MAX(B33,E33)&lt;informatieblad!$Q$4,informatieblad!$P$3,IF(MAX(B33,E33)&gt;informatieblad!$R$4,informatieblad!$P$5,informatieblad!$P$4)),"")</f>
        <v/>
      </c>
      <c r="C34" s="202" t="str">
        <f>IF($C35&gt;0,IF(MAX(C33,E33)&lt;informatieblad!$Q$4,informatieblad!$P$3,IF(MAX(C33,E33)&gt;informatieblad!$R$4,informatieblad!$P$5,informatieblad!$P$4)),"")</f>
        <v/>
      </c>
      <c r="D34" s="203" t="str">
        <f>IF($C35&gt;0,IF(MAX(D33,E33)&lt;informatieblad!$Q$4,informatieblad!$P$3,IF(MAX(D33,E33)&gt;informatieblad!$R$4,informatieblad!$P$5,informatieblad!$P$4)),"")</f>
        <v/>
      </c>
      <c r="E34" s="190" t="str">
        <f>A33&amp;"-"&amp;informatieblad!$B$16&amp;"-"&amp;B33&amp;"-"&amp;C33&amp;"-"&amp;D33&amp;"-"&amp;E33&amp;"-"&amp;F33&amp;"-"&amp;G33&amp;"-"&amp;H33&amp;"-"&amp;I33&amp;"-"&amp;B34&amp;"-"&amp;C34&amp;"-"&amp;D34&amp;"-"&amp;G35</f>
        <v>-RctT--0---0-0-0-0----Options None</v>
      </c>
      <c r="F34" s="174"/>
      <c r="G34" s="174"/>
      <c r="H34" s="174"/>
      <c r="I34" s="199"/>
      <c r="J34" s="83"/>
      <c r="S34" s="103">
        <f>A33</f>
        <v>0</v>
      </c>
      <c r="T34" s="104" t="s">
        <v>39</v>
      </c>
      <c r="U34" s="104" t="s">
        <v>39</v>
      </c>
      <c r="V34" s="104" t="s">
        <v>40</v>
      </c>
      <c r="W34" s="104" t="s">
        <v>40</v>
      </c>
      <c r="X34" s="104" t="s">
        <v>40</v>
      </c>
      <c r="Y34" s="105"/>
      <c r="Z34" s="155" t="s">
        <v>27</v>
      </c>
      <c r="AA34" s="155" t="s">
        <v>40</v>
      </c>
      <c r="AB34" s="155" t="s">
        <v>41</v>
      </c>
      <c r="AC34" s="156" t="s">
        <v>105</v>
      </c>
      <c r="AD34" s="104" t="s">
        <v>106</v>
      </c>
      <c r="AE34" s="107" t="s">
        <v>87</v>
      </c>
      <c r="AF34" s="107" t="s">
        <v>44</v>
      </c>
      <c r="AG34" s="107"/>
      <c r="AH34" s="104" t="s">
        <v>40</v>
      </c>
      <c r="AI34" s="104" t="s">
        <v>41</v>
      </c>
      <c r="AJ34" s="108"/>
      <c r="AK34" s="109"/>
      <c r="AM34" s="262" t="str">
        <f>informatieblad!$A$2</f>
        <v>FL20 loose</v>
      </c>
      <c r="AN34" s="263"/>
      <c r="AO34" s="263"/>
      <c r="AP34" s="262" t="str">
        <f>informatieblad!$A$3</f>
        <v>FL30 loose</v>
      </c>
      <c r="AQ34" s="263"/>
      <c r="AR34" s="105"/>
      <c r="AS34" s="263" t="str">
        <f>informatieblad!$A$4</f>
        <v>FL40 loose</v>
      </c>
      <c r="AT34" s="263"/>
      <c r="AU34" s="105"/>
      <c r="AV34" s="265"/>
      <c r="AW34" s="106"/>
      <c r="AX34" s="105"/>
      <c r="AY34" s="83"/>
      <c r="AZ34" s="267"/>
      <c r="BA34" s="83"/>
      <c r="BB34" s="267"/>
      <c r="BC34" s="83"/>
      <c r="BD34" s="265" t="s">
        <v>47</v>
      </c>
      <c r="BE34" s="106" t="s">
        <v>48</v>
      </c>
      <c r="BF34" s="106" t="s">
        <v>48</v>
      </c>
      <c r="BG34" s="290" t="s">
        <v>23</v>
      </c>
      <c r="BH34" s="83" t="s">
        <v>23</v>
      </c>
      <c r="BI34" s="83" t="s">
        <v>23</v>
      </c>
      <c r="BJ34" s="290" t="s">
        <v>23</v>
      </c>
      <c r="BK34" s="83" t="s">
        <v>23</v>
      </c>
      <c r="BL34" s="273" t="s">
        <v>23</v>
      </c>
    </row>
    <row r="35" spans="1:64" ht="15.75" thickBot="1">
      <c r="A35" s="447"/>
      <c r="B35" s="92" t="s">
        <v>23</v>
      </c>
      <c r="C35" s="110"/>
      <c r="D35" s="94">
        <f>C35*U35</f>
        <v>0</v>
      </c>
      <c r="E35" s="141" t="s">
        <v>24</v>
      </c>
      <c r="F35" s="200"/>
      <c r="G35" s="457" t="s">
        <v>25</v>
      </c>
      <c r="H35" s="491"/>
      <c r="I35" s="492"/>
      <c r="J35" s="176"/>
      <c r="S35" s="111"/>
      <c r="T35" s="112">
        <f>(((2*(B33+E33))*(D33+G33+H33+F33))+((2*(D33+E33))*(C33+I33+F33)))/1000000</f>
        <v>0</v>
      </c>
      <c r="U35" s="112">
        <f>((IF(T35&lt;=informatieblad!$I$16,informatieblad!$I$16,IF(T35&gt;=informatieblad!$I$16,T35))))</f>
        <v>0.5</v>
      </c>
      <c r="V35" s="112">
        <f>(((2*(B33+E33))*(D33+G33+H33+F33))+((2*(D33+E33))*(C33+I33+F33)))/1000000</f>
        <v>0</v>
      </c>
      <c r="W35" s="112">
        <f>((IF(V35&lt;=informatieblad!$H$16,informatieblad!$H$16,IF(V35&gt;=informatieblad!$H$16,V35))))</f>
        <v>0</v>
      </c>
      <c r="X35" s="113">
        <f>((W35*AH35)+(W35*AA35))*C35</f>
        <v>0</v>
      </c>
      <c r="Y35" s="114">
        <f>((U35*AI35)+(U35*AB35))*C35</f>
        <v>0</v>
      </c>
      <c r="Z35" s="115" t="str">
        <f>G35</f>
        <v>Options None</v>
      </c>
      <c r="AA35" s="115">
        <f>VLOOKUP(G35,informatieblad!$A$37:$D$41,2,FALSE)</f>
        <v>0</v>
      </c>
      <c r="AB35" s="115">
        <f>VLOOKUP(G35,informatieblad!$A$37:$D$41,4,FALSE)</f>
        <v>0</v>
      </c>
      <c r="AC35" s="180">
        <f>(MAX(J33,K33))</f>
        <v>0</v>
      </c>
      <c r="AD35" s="119">
        <f>(MAX(L33,M33))</f>
        <v>0</v>
      </c>
      <c r="AE35" s="119">
        <f>(MAX(J33,L33))</f>
        <v>0</v>
      </c>
      <c r="AF35" s="119">
        <f>(MAX(B33:E33))</f>
        <v>0</v>
      </c>
      <c r="AG35" s="119">
        <f>LOOKUP(AF35,informatieblad!$C$27:$C$32,informatieblad!$A$27:$A$32)</f>
        <v>0.5</v>
      </c>
      <c r="AH35" s="118">
        <f>VLOOKUP(AG35,informatieblad!$A$27:$M$32,6,FALSE)</f>
        <v>0</v>
      </c>
      <c r="AI35" s="118">
        <f>VLOOKUP(AG35,informatieblad!$A$27:$M$32,8,FALSE)</f>
        <v>45.1248</v>
      </c>
      <c r="AJ35" s="120">
        <f>VLOOKUP(AG35,informatieblad!$A$27:$M$32,13,FALSE)</f>
        <v>4</v>
      </c>
      <c r="AK35" s="121">
        <f>ROUND((AJ35*V35),1)</f>
        <v>0</v>
      </c>
      <c r="AM35" s="111">
        <f>(IF(B34=AM33,((2*B33)+(2*E33)),IF(B34=AM34,((2*B33)+(2*E33)),0)))*C35</f>
        <v>0</v>
      </c>
      <c r="AN35" s="261">
        <f>(IF(C34=AM33,((2*C33)+(2*E33)),IF(C34=AM34,((2*C33)+(2*E33)),0)))*C35</f>
        <v>0</v>
      </c>
      <c r="AO35" s="261">
        <f>(IF(D34=AM33,((2*D33)+(2*E33)),IF(D34=AM34,((2*D33)+(2*E33)),0)))*C35</f>
        <v>0</v>
      </c>
      <c r="AP35" s="111">
        <f>(IF(B34=AP33,((2*B33)+(2*E33)),IF(B34=AP34,((2*B33)+(2*E33)),0)))*C35</f>
        <v>0</v>
      </c>
      <c r="AQ35" s="261">
        <f>(IF(C34=AP33,((2*C33)+(2*E33)),IF(C34=AP34,((2*C33)+(2*E33)),0)))*C35</f>
        <v>0</v>
      </c>
      <c r="AR35" s="260">
        <f>(IF(D34=AP33,((2*D33)+(2*E33)),IF(D34=AP34,((2*D33)+(2*E33)),0)))*C35</f>
        <v>0</v>
      </c>
      <c r="AS35" s="261">
        <f>(IF(B34=AS33,((2*B33)+(2*E33)),IF(B34=AS34,((2*B33)+(2*E33)),0)))*C35</f>
        <v>0</v>
      </c>
      <c r="AT35" s="261">
        <f>(IF(C34=AS33,((2*C33)+(2*E33)),IF(C34=AS34,((2*C33)+(2*E33)),0)))*C35</f>
        <v>0</v>
      </c>
      <c r="AU35" s="260">
        <f>(IF(D34=AS33,((2*D33)+(2*E33)),IF(D34=AS34,((2*D33)+(2*E33)),0)))*C35</f>
        <v>0</v>
      </c>
      <c r="AV35" s="111">
        <f>(IF(B34=AV33,((2*B33)+(2*E33)),0))*C35</f>
        <v>0</v>
      </c>
      <c r="AW35" s="261">
        <f>(IF(C34=AV33,((2*C33)+(2*E33)),0))*C35</f>
        <v>0</v>
      </c>
      <c r="AX35" s="260">
        <f>(IF(D34=AV33,((2*D33)+(2*E33)),0))*C35</f>
        <v>0</v>
      </c>
      <c r="AY35" s="83"/>
      <c r="AZ35" s="268">
        <f>(D33+H21+H21+G33+I33)*C35</f>
        <v>0</v>
      </c>
      <c r="BA35" s="83"/>
      <c r="BB35" s="268">
        <f>(AE35+100)*C35</f>
        <v>0</v>
      </c>
      <c r="BC35" s="83"/>
      <c r="BD35" s="111" t="str">
        <f>IF(B34=informatieblad!$A$6,informatieblad!$B$6,IF(B34=informatieblad!$A$7,informatieblad!$B$7,IF(B34=informatieblad!$A$8,informatieblad!$B$8,IF(B34=informatieblad!$A$2,informatieblad!$B$2,IF(B34=informatieblad!$A$3,informatieblad!$B$3,IF(B34=informatieblad!$A$4,informatieblad!$B$4,IF(B34=informatieblad!$A$5,informatieblad!$B$5,"")))))))</f>
        <v/>
      </c>
      <c r="BE35" s="275" t="str">
        <f>IF(C34=informatieblad!$A$6,informatieblad!$B$6,IF(C34=informatieblad!$A$7,informatieblad!$B$7,IF(C34=informatieblad!$A$8,informatieblad!$B$8,IF(C34=informatieblad!$A$2,informatieblad!$B$2,IF(C34=informatieblad!$A$3,informatieblad!$B$3,IF(C34=informatieblad!$A$4,informatieblad!$B$4,IF(C34=informatieblad!$A$5,informatieblad!$B$5,"")))))))</f>
        <v/>
      </c>
      <c r="BF35" s="276" t="str">
        <f>IF(D34=informatieblad!$A$6,informatieblad!$B$6,IF(D34=informatieblad!$A$7,informatieblad!$B$7,IF(D34=informatieblad!$A$8,informatieblad!$B$8,IF(D34=informatieblad!$A$2,informatieblad!$B$2,IF(D34=informatieblad!$A$3,informatieblad!$B$3,IF(D34=informatieblad!$A$4,informatieblad!$B$4,IF(D34=informatieblad!$A$5,informatieblad!$B$5,"")))))))</f>
        <v/>
      </c>
      <c r="BG35" s="276">
        <f>IF(BD35=BG33,(4*C35),0)</f>
        <v>0</v>
      </c>
      <c r="BH35" s="276">
        <f>IF(BE35=BG33,(4*C35),0)</f>
        <v>0</v>
      </c>
      <c r="BI35" s="276">
        <f>IF(BF35=BG33,(4*C35),0)</f>
        <v>0</v>
      </c>
      <c r="BJ35" s="275">
        <f>IF(BD35=BJ33,(4*C35),0)</f>
        <v>0</v>
      </c>
      <c r="BK35" s="276">
        <f>IF(BE35=BJ33,(4*C35),0)</f>
        <v>0</v>
      </c>
      <c r="BL35" s="274">
        <f>IF(BF35=BJ33,(4*C35),0)</f>
        <v>0</v>
      </c>
    </row>
    <row r="36" spans="1:64" ht="5.0999999999999996" customHeight="1" thickBot="1">
      <c r="A36" s="145"/>
      <c r="B36" s="122"/>
      <c r="C36" s="122"/>
      <c r="D36" s="122"/>
      <c r="E36" s="122"/>
      <c r="F36" s="122"/>
      <c r="G36" s="122"/>
      <c r="H36" s="122"/>
      <c r="I36" s="146"/>
    </row>
    <row r="37" spans="1:64" ht="15" thickBot="1">
      <c r="A37" s="445"/>
      <c r="B37" s="96"/>
      <c r="C37" s="300">
        <f>B37</f>
        <v>0</v>
      </c>
      <c r="D37" s="96"/>
      <c r="E37" s="96"/>
      <c r="F37" s="300">
        <f>(B37&gt;0)*$H$9</f>
        <v>0</v>
      </c>
      <c r="G37" s="300">
        <f>(C37&gt;0)*$H$10</f>
        <v>0</v>
      </c>
      <c r="H37" s="300">
        <f>(D37&gt;0)*$H$11</f>
        <v>0</v>
      </c>
      <c r="I37" s="302">
        <f>(E37&gt;0)*$H$12</f>
        <v>0</v>
      </c>
      <c r="J37" s="345" t="s">
        <v>20</v>
      </c>
      <c r="S37" s="97" t="s">
        <v>14</v>
      </c>
      <c r="T37" s="98" t="s">
        <v>27</v>
      </c>
      <c r="U37" s="98" t="s">
        <v>28</v>
      </c>
      <c r="V37" s="98" t="s">
        <v>27</v>
      </c>
      <c r="W37" s="98" t="s">
        <v>28</v>
      </c>
      <c r="X37" s="98" t="s">
        <v>29</v>
      </c>
      <c r="Y37" s="66" t="s">
        <v>30</v>
      </c>
      <c r="Z37" s="153" t="s">
        <v>31</v>
      </c>
      <c r="AA37" s="153"/>
      <c r="AB37" s="153"/>
      <c r="AC37" s="154" t="s">
        <v>83</v>
      </c>
      <c r="AD37" s="100" t="s">
        <v>83</v>
      </c>
      <c r="AE37" s="100" t="s">
        <v>83</v>
      </c>
      <c r="AF37" s="100" t="s">
        <v>33</v>
      </c>
      <c r="AG37" s="100" t="s">
        <v>34</v>
      </c>
      <c r="AH37" s="98" t="s">
        <v>32</v>
      </c>
      <c r="AI37" s="98" t="s">
        <v>32</v>
      </c>
      <c r="AJ37" s="98" t="s">
        <v>35</v>
      </c>
      <c r="AK37" s="101" t="s">
        <v>36</v>
      </c>
      <c r="AM37" s="97" t="str">
        <f>informatieblad!$A$6</f>
        <v>FL20</v>
      </c>
      <c r="AN37" s="99"/>
      <c r="AO37" s="99"/>
      <c r="AP37" s="97" t="str">
        <f>informatieblad!$A$7</f>
        <v>FL30</v>
      </c>
      <c r="AQ37" s="99"/>
      <c r="AR37" s="66"/>
      <c r="AS37" s="99" t="str">
        <f>informatieblad!$A$8</f>
        <v>FL40</v>
      </c>
      <c r="AT37" s="99"/>
      <c r="AU37" s="66"/>
      <c r="AV37" s="97" t="str">
        <f>informatieblad!$A$5</f>
        <v>none</v>
      </c>
      <c r="AW37" s="99"/>
      <c r="AX37" s="264"/>
      <c r="AY37" s="83"/>
      <c r="AZ37" s="266" t="s">
        <v>17</v>
      </c>
      <c r="BA37" s="131"/>
      <c r="BB37" s="266" t="s">
        <v>37</v>
      </c>
      <c r="BC37" s="131"/>
      <c r="BD37" s="269" t="s">
        <v>38</v>
      </c>
      <c r="BE37" s="272"/>
      <c r="BF37" s="272"/>
      <c r="BG37" s="289">
        <f>informatieblad!$B$3</f>
        <v>0</v>
      </c>
      <c r="BH37" s="272"/>
      <c r="BI37" s="272"/>
      <c r="BJ37" s="289">
        <f>informatieblad!$B$4</f>
        <v>0</v>
      </c>
      <c r="BK37" s="272"/>
      <c r="BL37" s="264"/>
    </row>
    <row r="38" spans="1:64">
      <c r="A38" s="446"/>
      <c r="B38" s="202" t="str">
        <f>IF($C39&gt;0,IF(MAX(B37,E37)&lt;informatieblad!$Q$4,informatieblad!$P$3,IF(MAX(B37,E37)&gt;informatieblad!$R$4,informatieblad!$P$5,informatieblad!$P$4)),"")</f>
        <v/>
      </c>
      <c r="C38" s="202" t="str">
        <f>IF($C39&gt;0,IF(MAX(C37,E37)&lt;informatieblad!$Q$4,informatieblad!$P$3,IF(MAX(C37,E37)&gt;informatieblad!$R$4,informatieblad!$P$5,informatieblad!$P$4)),"")</f>
        <v/>
      </c>
      <c r="D38" s="203" t="str">
        <f>IF($C39&gt;0,IF(MAX(D37,E37)&lt;informatieblad!$Q$4,informatieblad!$P$3,IF(MAX(D37,E37)&gt;informatieblad!$R$4,informatieblad!$P$5,informatieblad!$P$4)),"")</f>
        <v/>
      </c>
      <c r="E38" s="190" t="str">
        <f>A37&amp;"-"&amp;informatieblad!$B$16&amp;"-"&amp;B37&amp;"-"&amp;C37&amp;"-"&amp;D37&amp;"-"&amp;E37&amp;"-"&amp;F37&amp;"-"&amp;G37&amp;"-"&amp;H37&amp;"-"&amp;I37&amp;"-"&amp;B38&amp;"-"&amp;C38&amp;"-"&amp;D38&amp;"-"&amp;G39</f>
        <v>-RctT--0---0-0-0-0----Options None</v>
      </c>
      <c r="F38" s="174"/>
      <c r="G38" s="174"/>
      <c r="H38" s="174"/>
      <c r="I38" s="199"/>
      <c r="J38" s="83"/>
      <c r="S38" s="103">
        <f>A37</f>
        <v>0</v>
      </c>
      <c r="T38" s="104" t="s">
        <v>39</v>
      </c>
      <c r="U38" s="104" t="s">
        <v>39</v>
      </c>
      <c r="V38" s="104" t="s">
        <v>40</v>
      </c>
      <c r="W38" s="104" t="s">
        <v>40</v>
      </c>
      <c r="X38" s="104" t="s">
        <v>40</v>
      </c>
      <c r="Y38" s="105"/>
      <c r="Z38" s="155" t="s">
        <v>27</v>
      </c>
      <c r="AA38" s="155" t="s">
        <v>40</v>
      </c>
      <c r="AB38" s="155" t="s">
        <v>41</v>
      </c>
      <c r="AC38" s="156" t="s">
        <v>105</v>
      </c>
      <c r="AD38" s="104" t="s">
        <v>106</v>
      </c>
      <c r="AE38" s="107" t="s">
        <v>87</v>
      </c>
      <c r="AF38" s="107" t="s">
        <v>44</v>
      </c>
      <c r="AG38" s="107"/>
      <c r="AH38" s="104" t="s">
        <v>40</v>
      </c>
      <c r="AI38" s="104" t="s">
        <v>41</v>
      </c>
      <c r="AJ38" s="108"/>
      <c r="AK38" s="109"/>
      <c r="AM38" s="262" t="str">
        <f>informatieblad!$A$2</f>
        <v>FL20 loose</v>
      </c>
      <c r="AN38" s="263"/>
      <c r="AO38" s="263"/>
      <c r="AP38" s="262" t="str">
        <f>informatieblad!$A$3</f>
        <v>FL30 loose</v>
      </c>
      <c r="AQ38" s="263"/>
      <c r="AR38" s="105"/>
      <c r="AS38" s="263" t="str">
        <f>informatieblad!$A$4</f>
        <v>FL40 loose</v>
      </c>
      <c r="AT38" s="263"/>
      <c r="AU38" s="105"/>
      <c r="AV38" s="265"/>
      <c r="AW38" s="106"/>
      <c r="AX38" s="105"/>
      <c r="AY38" s="83"/>
      <c r="AZ38" s="267"/>
      <c r="BA38" s="83"/>
      <c r="BB38" s="267"/>
      <c r="BC38" s="83"/>
      <c r="BD38" s="265" t="s">
        <v>47</v>
      </c>
      <c r="BE38" s="106" t="s">
        <v>48</v>
      </c>
      <c r="BF38" s="106" t="s">
        <v>48</v>
      </c>
      <c r="BG38" s="290" t="s">
        <v>23</v>
      </c>
      <c r="BH38" s="83" t="s">
        <v>23</v>
      </c>
      <c r="BI38" s="83" t="s">
        <v>23</v>
      </c>
      <c r="BJ38" s="290" t="s">
        <v>23</v>
      </c>
      <c r="BK38" s="83" t="s">
        <v>23</v>
      </c>
      <c r="BL38" s="273" t="s">
        <v>23</v>
      </c>
    </row>
    <row r="39" spans="1:64" ht="15.75" thickBot="1">
      <c r="A39" s="447"/>
      <c r="B39" s="92" t="s">
        <v>23</v>
      </c>
      <c r="C39" s="110"/>
      <c r="D39" s="94">
        <f>C39*U39</f>
        <v>0</v>
      </c>
      <c r="E39" s="141" t="s">
        <v>24</v>
      </c>
      <c r="F39" s="200"/>
      <c r="G39" s="457" t="s">
        <v>25</v>
      </c>
      <c r="H39" s="491"/>
      <c r="I39" s="492"/>
      <c r="J39" s="176"/>
      <c r="S39" s="111"/>
      <c r="T39" s="112">
        <f>(((2*(B37+E37))*(D37+G37+H37+F37))+((2*(D37+E37))*(C37+I37+F37)))/1000000</f>
        <v>0</v>
      </c>
      <c r="U39" s="112">
        <f>((IF(T39&lt;=informatieblad!$I$16,informatieblad!$I$16,IF(T39&gt;=informatieblad!$I$16,T39))))</f>
        <v>0.5</v>
      </c>
      <c r="V39" s="112">
        <f>(((2*(B37+E37))*(D37+G37+H37+F37))+((2*(D37+E37))*(C37+I37+F37)))/1000000</f>
        <v>0</v>
      </c>
      <c r="W39" s="112">
        <f>((IF(V39&lt;=informatieblad!$H$16,informatieblad!$H$16,IF(V39&gt;=informatieblad!$H$16,V39))))</f>
        <v>0</v>
      </c>
      <c r="X39" s="113">
        <f>((W39*AH39)+(W39*AA39))*C39</f>
        <v>0</v>
      </c>
      <c r="Y39" s="114">
        <f>((U39*AI39)+(U39*AB39))*C39</f>
        <v>0</v>
      </c>
      <c r="Z39" s="115" t="str">
        <f>G39</f>
        <v>Options None</v>
      </c>
      <c r="AA39" s="115">
        <f>VLOOKUP(G39,informatieblad!$A$37:$D$41,2,FALSE)</f>
        <v>0</v>
      </c>
      <c r="AB39" s="115">
        <f>VLOOKUP(G39,informatieblad!$A$37:$D$41,4,FALSE)</f>
        <v>0</v>
      </c>
      <c r="AC39" s="180">
        <f>(MAX(J37,K37))</f>
        <v>0</v>
      </c>
      <c r="AD39" s="119">
        <f>(MAX(L37,M37))</f>
        <v>0</v>
      </c>
      <c r="AE39" s="119">
        <f>(MAX(J37,L37))</f>
        <v>0</v>
      </c>
      <c r="AF39" s="119">
        <f>(MAX(B37:E37))</f>
        <v>0</v>
      </c>
      <c r="AG39" s="119">
        <f>LOOKUP(AF39,informatieblad!$C$27:$C$32,informatieblad!$A$27:$A$32)</f>
        <v>0.5</v>
      </c>
      <c r="AH39" s="118">
        <f>VLOOKUP(AG39,informatieblad!$A$27:$M$32,6,FALSE)</f>
        <v>0</v>
      </c>
      <c r="AI39" s="118">
        <f>VLOOKUP(AG39,informatieblad!$A$27:$M$32,8,FALSE)</f>
        <v>45.1248</v>
      </c>
      <c r="AJ39" s="120">
        <f>VLOOKUP(AG39,informatieblad!$A$27:$M$32,13,FALSE)</f>
        <v>4</v>
      </c>
      <c r="AK39" s="121">
        <f>ROUND((AJ39*V39),1)</f>
        <v>0</v>
      </c>
      <c r="AM39" s="111">
        <f>(IF(B38=AM37,((2*B37)+(2*E37)),IF(B38=AM38,((2*B37)+(2*E37)),0)))*C39</f>
        <v>0</v>
      </c>
      <c r="AN39" s="261">
        <f>(IF(C38=AM37,((2*C37)+(2*E37)),IF(C38=AM38,((2*C37)+(2*E37)),0)))*C39</f>
        <v>0</v>
      </c>
      <c r="AO39" s="261">
        <f>(IF(D38=AM37,((2*D37)+(2*E37)),IF(D38=AM38,((2*D37)+(2*E37)),0)))*C39</f>
        <v>0</v>
      </c>
      <c r="AP39" s="111">
        <f>(IF(B38=AP37,((2*B37)+(2*E37)),IF(B38=AP38,((2*B37)+(2*E37)),0)))*C39</f>
        <v>0</v>
      </c>
      <c r="AQ39" s="261">
        <f>(IF(C38=AP37,((2*C37)+(2*E37)),IF(C38=AP38,((2*C37)+(2*E37)),0)))*C39</f>
        <v>0</v>
      </c>
      <c r="AR39" s="260">
        <f>(IF(D38=AP37,((2*D37)+(2*E37)),IF(D38=AP38,((2*D37)+(2*E37)),0)))*C39</f>
        <v>0</v>
      </c>
      <c r="AS39" s="261">
        <f>(IF(B38=AS37,((2*B37)+(2*E37)),IF(B38=AS38,((2*B37)+(2*E37)),0)))*C39</f>
        <v>0</v>
      </c>
      <c r="AT39" s="261">
        <f>(IF(C38=AS37,((2*C37)+(2*E37)),IF(C38=AS38,((2*C37)+(2*E37)),0)))*C39</f>
        <v>0</v>
      </c>
      <c r="AU39" s="260">
        <f>(IF(D38=AS37,((2*D37)+(2*E37)),IF(D38=AS38,((2*D37)+(2*E37)),0)))*C39</f>
        <v>0</v>
      </c>
      <c r="AV39" s="111">
        <f>(IF(B38=AV37,((2*B37)+(2*E37)),0))*C39</f>
        <v>0</v>
      </c>
      <c r="AW39" s="261">
        <f>(IF(C38=AV37,((2*C37)+(2*E37)),0))*C39</f>
        <v>0</v>
      </c>
      <c r="AX39" s="260">
        <f>(IF(D38=AV37,((2*D37)+(2*E37)),0))*C39</f>
        <v>0</v>
      </c>
      <c r="AY39" s="83"/>
      <c r="AZ39" s="268">
        <f>(D37+H25+H25+G37+I37)*C39</f>
        <v>0</v>
      </c>
      <c r="BA39" s="83"/>
      <c r="BB39" s="268">
        <f>(AE39+100)*C39</f>
        <v>0</v>
      </c>
      <c r="BC39" s="83"/>
      <c r="BD39" s="111" t="str">
        <f>IF(B38=informatieblad!$A$6,informatieblad!$B$6,IF(B38=informatieblad!$A$7,informatieblad!$B$7,IF(B38=informatieblad!$A$8,informatieblad!$B$8,IF(B38=informatieblad!$A$2,informatieblad!$B$2,IF(B38=informatieblad!$A$3,informatieblad!$B$3,IF(B38=informatieblad!$A$4,informatieblad!$B$4,IF(B38=informatieblad!$A$5,informatieblad!$B$5,"")))))))</f>
        <v/>
      </c>
      <c r="BE39" s="275" t="str">
        <f>IF(C38=informatieblad!$A$6,informatieblad!$B$6,IF(C38=informatieblad!$A$7,informatieblad!$B$7,IF(C38=informatieblad!$A$8,informatieblad!$B$8,IF(C38=informatieblad!$A$2,informatieblad!$B$2,IF(C38=informatieblad!$A$3,informatieblad!$B$3,IF(C38=informatieblad!$A$4,informatieblad!$B$4,IF(C38=informatieblad!$A$5,informatieblad!$B$5,"")))))))</f>
        <v/>
      </c>
      <c r="BF39" s="276" t="str">
        <f>IF(D38=informatieblad!$A$6,informatieblad!$B$6,IF(D38=informatieblad!$A$7,informatieblad!$B$7,IF(D38=informatieblad!$A$8,informatieblad!$B$8,IF(D38=informatieblad!$A$2,informatieblad!$B$2,IF(D38=informatieblad!$A$3,informatieblad!$B$3,IF(D38=informatieblad!$A$4,informatieblad!$B$4,IF(D38=informatieblad!$A$5,informatieblad!$B$5,"")))))))</f>
        <v/>
      </c>
      <c r="BG39" s="276">
        <f>IF(BD39=BG37,(4*C39),0)</f>
        <v>0</v>
      </c>
      <c r="BH39" s="276">
        <f>IF(BE39=BG37,(4*C39),0)</f>
        <v>0</v>
      </c>
      <c r="BI39" s="276">
        <f>IF(BF39=BG37,(4*C39),0)</f>
        <v>0</v>
      </c>
      <c r="BJ39" s="275">
        <f>IF(BD39=BJ37,(4*C39),0)</f>
        <v>0</v>
      </c>
      <c r="BK39" s="276">
        <f>IF(BE39=BJ37,(4*C39),0)</f>
        <v>0</v>
      </c>
      <c r="BL39" s="274">
        <f>IF(BF39=BJ37,(4*C39),0)</f>
        <v>0</v>
      </c>
    </row>
    <row r="40" spans="1:64" ht="5.0999999999999996" customHeight="1" thickBot="1">
      <c r="A40" s="145"/>
      <c r="B40" s="122"/>
      <c r="C40" s="122"/>
      <c r="D40" s="122"/>
      <c r="E40" s="122"/>
      <c r="F40" s="122"/>
      <c r="G40" s="122"/>
      <c r="H40" s="122"/>
      <c r="I40" s="146"/>
    </row>
    <row r="41" spans="1:64" ht="15" thickBot="1">
      <c r="A41" s="445"/>
      <c r="B41" s="96"/>
      <c r="C41" s="300">
        <f>B41</f>
        <v>0</v>
      </c>
      <c r="D41" s="96"/>
      <c r="E41" s="96"/>
      <c r="F41" s="300">
        <f>(B41&gt;0)*$H$9</f>
        <v>0</v>
      </c>
      <c r="G41" s="300">
        <f>(C41&gt;0)*$H$10</f>
        <v>0</v>
      </c>
      <c r="H41" s="300">
        <f>(D41&gt;0)*$H$11</f>
        <v>0</v>
      </c>
      <c r="I41" s="302">
        <f>(E41&gt;0)*$H$12</f>
        <v>0</v>
      </c>
      <c r="J41" s="345" t="s">
        <v>20</v>
      </c>
      <c r="S41" s="97" t="s">
        <v>14</v>
      </c>
      <c r="T41" s="98" t="s">
        <v>27</v>
      </c>
      <c r="U41" s="98" t="s">
        <v>28</v>
      </c>
      <c r="V41" s="98" t="s">
        <v>27</v>
      </c>
      <c r="W41" s="98" t="s">
        <v>28</v>
      </c>
      <c r="X41" s="98" t="s">
        <v>29</v>
      </c>
      <c r="Y41" s="66" t="s">
        <v>30</v>
      </c>
      <c r="Z41" s="153" t="s">
        <v>31</v>
      </c>
      <c r="AA41" s="153"/>
      <c r="AB41" s="153"/>
      <c r="AC41" s="154" t="s">
        <v>83</v>
      </c>
      <c r="AD41" s="100" t="s">
        <v>83</v>
      </c>
      <c r="AE41" s="100" t="s">
        <v>83</v>
      </c>
      <c r="AF41" s="100" t="s">
        <v>33</v>
      </c>
      <c r="AG41" s="100" t="s">
        <v>34</v>
      </c>
      <c r="AH41" s="98" t="s">
        <v>32</v>
      </c>
      <c r="AI41" s="98" t="s">
        <v>32</v>
      </c>
      <c r="AJ41" s="98" t="s">
        <v>35</v>
      </c>
      <c r="AK41" s="101" t="s">
        <v>36</v>
      </c>
      <c r="AM41" s="97" t="str">
        <f>informatieblad!$A$6</f>
        <v>FL20</v>
      </c>
      <c r="AN41" s="99"/>
      <c r="AO41" s="99"/>
      <c r="AP41" s="97" t="str">
        <f>informatieblad!$A$7</f>
        <v>FL30</v>
      </c>
      <c r="AQ41" s="99"/>
      <c r="AR41" s="66"/>
      <c r="AS41" s="99" t="str">
        <f>informatieblad!$A$8</f>
        <v>FL40</v>
      </c>
      <c r="AT41" s="99"/>
      <c r="AU41" s="66"/>
      <c r="AV41" s="97" t="str">
        <f>informatieblad!$A$5</f>
        <v>none</v>
      </c>
      <c r="AW41" s="99"/>
      <c r="AX41" s="264"/>
      <c r="AY41" s="83"/>
      <c r="AZ41" s="266" t="s">
        <v>17</v>
      </c>
      <c r="BA41" s="131"/>
      <c r="BB41" s="266" t="s">
        <v>37</v>
      </c>
      <c r="BC41" s="131"/>
      <c r="BD41" s="269" t="s">
        <v>38</v>
      </c>
      <c r="BE41" s="272"/>
      <c r="BF41" s="272"/>
      <c r="BG41" s="289">
        <f>informatieblad!$B$3</f>
        <v>0</v>
      </c>
      <c r="BH41" s="272"/>
      <c r="BI41" s="272"/>
      <c r="BJ41" s="289">
        <f>informatieblad!$B$4</f>
        <v>0</v>
      </c>
      <c r="BK41" s="272"/>
      <c r="BL41" s="264"/>
    </row>
    <row r="42" spans="1:64">
      <c r="A42" s="446"/>
      <c r="B42" s="202" t="str">
        <f>IF($C43&gt;0,IF(MAX(B41,E41)&lt;informatieblad!$Q$4,informatieblad!$P$3,IF(MAX(B41,E41)&gt;informatieblad!$R$4,informatieblad!$P$5,informatieblad!$P$4)),"")</f>
        <v/>
      </c>
      <c r="C42" s="202" t="str">
        <f>IF($C43&gt;0,IF(MAX(C41,E41)&lt;informatieblad!$Q$4,informatieblad!$P$3,IF(MAX(C41,E41)&gt;informatieblad!$R$4,informatieblad!$P$5,informatieblad!$P$4)),"")</f>
        <v/>
      </c>
      <c r="D42" s="203" t="str">
        <f>IF($C43&gt;0,IF(MAX(D41,E41)&lt;informatieblad!$Q$4,informatieblad!$P$3,IF(MAX(D41,E41)&gt;informatieblad!$R$4,informatieblad!$P$5,informatieblad!$P$4)),"")</f>
        <v/>
      </c>
      <c r="E42" s="204" t="str">
        <f>A41&amp;"-"&amp;informatieblad!$B$16&amp;"-"&amp;B41&amp;"-"&amp;C41&amp;"-"&amp;D41&amp;"-"&amp;E41&amp;"-"&amp;F41&amp;"-"&amp;G41&amp;"-"&amp;H41&amp;"-"&amp;I41&amp;"-"&amp;B42&amp;"-"&amp;C42&amp;"-"&amp;D42&amp;"-"&amp;G43</f>
        <v>-RctT--0---0-0-0-0----Options None</v>
      </c>
      <c r="F42" s="174"/>
      <c r="G42" s="174"/>
      <c r="H42" s="174"/>
      <c r="I42" s="199"/>
      <c r="J42" s="83"/>
      <c r="S42" s="103">
        <f>A41</f>
        <v>0</v>
      </c>
      <c r="T42" s="104" t="s">
        <v>39</v>
      </c>
      <c r="U42" s="104" t="s">
        <v>39</v>
      </c>
      <c r="V42" s="104" t="s">
        <v>40</v>
      </c>
      <c r="W42" s="104" t="s">
        <v>40</v>
      </c>
      <c r="X42" s="104" t="s">
        <v>40</v>
      </c>
      <c r="Y42" s="105"/>
      <c r="Z42" s="155" t="s">
        <v>27</v>
      </c>
      <c r="AA42" s="155" t="s">
        <v>40</v>
      </c>
      <c r="AB42" s="155" t="s">
        <v>41</v>
      </c>
      <c r="AC42" s="156" t="s">
        <v>105</v>
      </c>
      <c r="AD42" s="104" t="s">
        <v>106</v>
      </c>
      <c r="AE42" s="107" t="s">
        <v>87</v>
      </c>
      <c r="AF42" s="107" t="s">
        <v>44</v>
      </c>
      <c r="AG42" s="107"/>
      <c r="AH42" s="104" t="s">
        <v>40</v>
      </c>
      <c r="AI42" s="104" t="s">
        <v>41</v>
      </c>
      <c r="AJ42" s="108"/>
      <c r="AK42" s="109"/>
      <c r="AM42" s="262" t="str">
        <f>informatieblad!$A$2</f>
        <v>FL20 loose</v>
      </c>
      <c r="AN42" s="263"/>
      <c r="AO42" s="263"/>
      <c r="AP42" s="262" t="str">
        <f>informatieblad!$A$3</f>
        <v>FL30 loose</v>
      </c>
      <c r="AQ42" s="263"/>
      <c r="AR42" s="105"/>
      <c r="AS42" s="263" t="str">
        <f>informatieblad!$A$4</f>
        <v>FL40 loose</v>
      </c>
      <c r="AT42" s="263"/>
      <c r="AU42" s="105"/>
      <c r="AV42" s="265"/>
      <c r="AW42" s="106"/>
      <c r="AX42" s="105"/>
      <c r="AY42" s="83"/>
      <c r="AZ42" s="267"/>
      <c r="BA42" s="83"/>
      <c r="BB42" s="267"/>
      <c r="BC42" s="83"/>
      <c r="BD42" s="265" t="s">
        <v>47</v>
      </c>
      <c r="BE42" s="106" t="s">
        <v>48</v>
      </c>
      <c r="BF42" s="106" t="s">
        <v>48</v>
      </c>
      <c r="BG42" s="290" t="s">
        <v>23</v>
      </c>
      <c r="BH42" s="83" t="s">
        <v>23</v>
      </c>
      <c r="BI42" s="83" t="s">
        <v>23</v>
      </c>
      <c r="BJ42" s="290" t="s">
        <v>23</v>
      </c>
      <c r="BK42" s="83" t="s">
        <v>23</v>
      </c>
      <c r="BL42" s="273" t="s">
        <v>23</v>
      </c>
    </row>
    <row r="43" spans="1:64" ht="15.75" thickBot="1">
      <c r="A43" s="447"/>
      <c r="B43" s="92" t="s">
        <v>23</v>
      </c>
      <c r="C43" s="110"/>
      <c r="D43" s="94">
        <f>C43*U43</f>
        <v>0</v>
      </c>
      <c r="E43" s="141" t="s">
        <v>24</v>
      </c>
      <c r="F43" s="200"/>
      <c r="G43" s="451" t="s">
        <v>25</v>
      </c>
      <c r="H43" s="522"/>
      <c r="I43" s="523"/>
      <c r="J43" s="176"/>
      <c r="S43" s="111"/>
      <c r="T43" s="112">
        <f>(((2*(B41+E41))*(D41+G41+H41+F41))+((2*(D41+E41))*(C41+I41+F41)))/1000000</f>
        <v>0</v>
      </c>
      <c r="U43" s="112">
        <f>((IF(T43&lt;=informatieblad!$I$16,informatieblad!$I$16,IF(T43&gt;=informatieblad!$I$16,T43))))</f>
        <v>0.5</v>
      </c>
      <c r="V43" s="112">
        <f>(((2*(B41+E41))*(D41+G41+H41+F41))+((2*(D41+E41))*(C41+I41+F41)))/1000000</f>
        <v>0</v>
      </c>
      <c r="W43" s="112">
        <f>((IF(V43&lt;=informatieblad!$H$16,informatieblad!$H$16,IF(V43&gt;=informatieblad!$H$16,V43))))</f>
        <v>0</v>
      </c>
      <c r="X43" s="113">
        <f>((W43*AH43)+(W43*AA43))*C43</f>
        <v>0</v>
      </c>
      <c r="Y43" s="114">
        <f>((U43*AI43)+(U43*AB43))*C43</f>
        <v>0</v>
      </c>
      <c r="Z43" s="115" t="str">
        <f>G43</f>
        <v>Options None</v>
      </c>
      <c r="AA43" s="115">
        <f>VLOOKUP(G43,informatieblad!$A$37:$D$41,2,FALSE)</f>
        <v>0</v>
      </c>
      <c r="AB43" s="115">
        <f>VLOOKUP(G43,informatieblad!$A$37:$D$41,4,FALSE)</f>
        <v>0</v>
      </c>
      <c r="AC43" s="180">
        <f>(MAX(J41,K41))</f>
        <v>0</v>
      </c>
      <c r="AD43" s="119">
        <f>(MAX(L41,M41))</f>
        <v>0</v>
      </c>
      <c r="AE43" s="119">
        <f>(MAX(J41,L41))</f>
        <v>0</v>
      </c>
      <c r="AF43" s="119">
        <f>(MAX(B41:E41))</f>
        <v>0</v>
      </c>
      <c r="AG43" s="119">
        <f>LOOKUP(AF43,informatieblad!$C$27:$C$32,informatieblad!$A$27:$A$32)</f>
        <v>0.5</v>
      </c>
      <c r="AH43" s="118">
        <f>VLOOKUP(AG43,informatieblad!$A$27:$M$32,6,FALSE)</f>
        <v>0</v>
      </c>
      <c r="AI43" s="118">
        <f>VLOOKUP(AG43,informatieblad!$A$27:$M$32,8,FALSE)</f>
        <v>45.1248</v>
      </c>
      <c r="AJ43" s="120">
        <f>VLOOKUP(AG43,informatieblad!$A$27:$M$32,13,FALSE)</f>
        <v>4</v>
      </c>
      <c r="AK43" s="121">
        <f>ROUND((AJ43*V43),1)</f>
        <v>0</v>
      </c>
      <c r="AM43" s="111">
        <f>(IF(B42=AM41,((2*B41)+(2*E41)),IF(B42=AM42,((2*B41)+(2*E41)),0)))*C43</f>
        <v>0</v>
      </c>
      <c r="AN43" s="261">
        <f>(IF(C42=AM41,((2*C41)+(2*E41)),IF(C42=AM42,((2*C41)+(2*E41)),0)))*C43</f>
        <v>0</v>
      </c>
      <c r="AO43" s="261">
        <f>(IF(D42=AM41,((2*D41)+(2*E41)),IF(D42=AM42,((2*D41)+(2*E41)),0)))*C43</f>
        <v>0</v>
      </c>
      <c r="AP43" s="111">
        <f>(IF(B42=AP41,((2*B41)+(2*E41)),IF(B42=AP42,((2*B41)+(2*E41)),0)))*C43</f>
        <v>0</v>
      </c>
      <c r="AQ43" s="261">
        <f>(IF(C42=AP41,((2*C41)+(2*E41)),IF(C42=AP42,((2*C41)+(2*E41)),0)))*C43</f>
        <v>0</v>
      </c>
      <c r="AR43" s="260">
        <f>(IF(D42=AP41,((2*D41)+(2*E41)),IF(D42=AP42,((2*D41)+(2*E41)),0)))*C43</f>
        <v>0</v>
      </c>
      <c r="AS43" s="261">
        <f>(IF(B42=AS41,((2*B41)+(2*E41)),IF(B42=AS42,((2*B41)+(2*E41)),0)))*C43</f>
        <v>0</v>
      </c>
      <c r="AT43" s="261">
        <f>(IF(C42=AS41,((2*C41)+(2*E41)),IF(C42=AS42,((2*C41)+(2*E41)),0)))*C43</f>
        <v>0</v>
      </c>
      <c r="AU43" s="260">
        <f>(IF(D42=AS41,((2*D41)+(2*E41)),IF(D42=AS42,((2*D41)+(2*E41)),0)))*C43</f>
        <v>0</v>
      </c>
      <c r="AV43" s="111">
        <f>(IF(B42=AV41,((2*B41)+(2*E41)),0))*C43</f>
        <v>0</v>
      </c>
      <c r="AW43" s="261">
        <f>(IF(C42=AV41,((2*C41)+(2*E41)),0))*C43</f>
        <v>0</v>
      </c>
      <c r="AX43" s="260">
        <f>(IF(D42=AV41,((2*D41)+(2*E41)),0))*C43</f>
        <v>0</v>
      </c>
      <c r="AY43" s="83"/>
      <c r="AZ43" s="268">
        <f>(D41+H29+H29+G41+I41)*C43</f>
        <v>0</v>
      </c>
      <c r="BA43" s="83"/>
      <c r="BB43" s="268">
        <f>(AE43+100)*C43</f>
        <v>0</v>
      </c>
      <c r="BC43" s="83"/>
      <c r="BD43" s="111" t="str">
        <f>IF(B42=informatieblad!$A$6,informatieblad!$B$6,IF(B42=informatieblad!$A$7,informatieblad!$B$7,IF(B42=informatieblad!$A$8,informatieblad!$B$8,IF(B42=informatieblad!$A$2,informatieblad!$B$2,IF(B42=informatieblad!$A$3,informatieblad!$B$3,IF(B42=informatieblad!$A$4,informatieblad!$B$4,IF(B42=informatieblad!$A$5,informatieblad!$B$5,"")))))))</f>
        <v/>
      </c>
      <c r="BE43" s="275" t="str">
        <f>IF(C42=informatieblad!$A$6,informatieblad!$B$6,IF(C42=informatieblad!$A$7,informatieblad!$B$7,IF(C42=informatieblad!$A$8,informatieblad!$B$8,IF(C42=informatieblad!$A$2,informatieblad!$B$2,IF(C42=informatieblad!$A$3,informatieblad!$B$3,IF(C42=informatieblad!$A$4,informatieblad!$B$4,IF(C42=informatieblad!$A$5,informatieblad!$B$5,"")))))))</f>
        <v/>
      </c>
      <c r="BF43" s="276" t="str">
        <f>IF(D42=informatieblad!$A$6,informatieblad!$B$6,IF(D42=informatieblad!$A$7,informatieblad!$B$7,IF(D42=informatieblad!$A$8,informatieblad!$B$8,IF(D42=informatieblad!$A$2,informatieblad!$B$2,IF(D42=informatieblad!$A$3,informatieblad!$B$3,IF(D42=informatieblad!$A$4,informatieblad!$B$4,IF(D42=informatieblad!$A$5,informatieblad!$B$5,"")))))))</f>
        <v/>
      </c>
      <c r="BG43" s="276">
        <f>IF(BD43=BG41,(4*C43),0)</f>
        <v>0</v>
      </c>
      <c r="BH43" s="276">
        <f>IF(BE43=BG41,(4*C43),0)</f>
        <v>0</v>
      </c>
      <c r="BI43" s="276">
        <f>IF(BF43=BG41,(4*C43),0)</f>
        <v>0</v>
      </c>
      <c r="BJ43" s="275">
        <f>IF(BD43=BJ41,(4*C43),0)</f>
        <v>0</v>
      </c>
      <c r="BK43" s="276">
        <f>IF(BE43=BJ41,(4*C43),0)</f>
        <v>0</v>
      </c>
      <c r="BL43" s="274">
        <f>IF(BF43=BJ41,(4*C43),0)</f>
        <v>0</v>
      </c>
    </row>
    <row r="44" spans="1:64" ht="5.0999999999999996" customHeight="1" thickBot="1">
      <c r="A44" s="145"/>
      <c r="B44" s="122"/>
      <c r="C44" s="122"/>
      <c r="D44" s="122"/>
      <c r="E44" s="122"/>
      <c r="F44" s="122"/>
      <c r="G44" s="122"/>
      <c r="H44" s="122"/>
      <c r="I44" s="146"/>
    </row>
    <row r="45" spans="1:64" ht="15" thickBot="1">
      <c r="A45" s="445"/>
      <c r="B45" s="96"/>
      <c r="C45" s="300">
        <f>B45</f>
        <v>0</v>
      </c>
      <c r="D45" s="96"/>
      <c r="E45" s="96"/>
      <c r="F45" s="300">
        <f>(B45&gt;0)*$H$9</f>
        <v>0</v>
      </c>
      <c r="G45" s="300">
        <f>(C45&gt;0)*$H$10</f>
        <v>0</v>
      </c>
      <c r="H45" s="300">
        <f>(D45&gt;0)*$H$11</f>
        <v>0</v>
      </c>
      <c r="I45" s="302">
        <f>(E45&gt;0)*$H$12</f>
        <v>0</v>
      </c>
      <c r="J45" s="345" t="s">
        <v>20</v>
      </c>
      <c r="S45" s="97" t="s">
        <v>14</v>
      </c>
      <c r="T45" s="98" t="s">
        <v>27</v>
      </c>
      <c r="U45" s="98" t="s">
        <v>28</v>
      </c>
      <c r="V45" s="98" t="s">
        <v>27</v>
      </c>
      <c r="W45" s="98" t="s">
        <v>28</v>
      </c>
      <c r="X45" s="98" t="s">
        <v>29</v>
      </c>
      <c r="Y45" s="66" t="s">
        <v>30</v>
      </c>
      <c r="Z45" s="153" t="s">
        <v>31</v>
      </c>
      <c r="AA45" s="153"/>
      <c r="AB45" s="153"/>
      <c r="AC45" s="154" t="s">
        <v>83</v>
      </c>
      <c r="AD45" s="100" t="s">
        <v>83</v>
      </c>
      <c r="AE45" s="100" t="s">
        <v>83</v>
      </c>
      <c r="AF45" s="100" t="s">
        <v>33</v>
      </c>
      <c r="AG45" s="100" t="s">
        <v>34</v>
      </c>
      <c r="AH45" s="98" t="s">
        <v>32</v>
      </c>
      <c r="AI45" s="98" t="s">
        <v>32</v>
      </c>
      <c r="AJ45" s="98" t="s">
        <v>35</v>
      </c>
      <c r="AK45" s="101" t="s">
        <v>36</v>
      </c>
      <c r="AM45" s="97" t="str">
        <f>informatieblad!$A$6</f>
        <v>FL20</v>
      </c>
      <c r="AN45" s="99"/>
      <c r="AO45" s="99"/>
      <c r="AP45" s="97" t="str">
        <f>informatieblad!$A$7</f>
        <v>FL30</v>
      </c>
      <c r="AQ45" s="99"/>
      <c r="AR45" s="66"/>
      <c r="AS45" s="99" t="str">
        <f>informatieblad!$A$8</f>
        <v>FL40</v>
      </c>
      <c r="AT45" s="99"/>
      <c r="AU45" s="66"/>
      <c r="AV45" s="97" t="str">
        <f>informatieblad!$A$5</f>
        <v>none</v>
      </c>
      <c r="AW45" s="99"/>
      <c r="AX45" s="264"/>
      <c r="AY45" s="83"/>
      <c r="AZ45" s="266" t="s">
        <v>17</v>
      </c>
      <c r="BA45" s="131"/>
      <c r="BB45" s="266" t="s">
        <v>37</v>
      </c>
      <c r="BC45" s="131"/>
      <c r="BD45" s="269" t="s">
        <v>38</v>
      </c>
      <c r="BE45" s="272"/>
      <c r="BF45" s="272"/>
      <c r="BG45" s="289">
        <f>informatieblad!$B$3</f>
        <v>0</v>
      </c>
      <c r="BH45" s="272"/>
      <c r="BI45" s="272"/>
      <c r="BJ45" s="289">
        <f>informatieblad!$B$4</f>
        <v>0</v>
      </c>
      <c r="BK45" s="272"/>
      <c r="BL45" s="264"/>
    </row>
    <row r="46" spans="1:64">
      <c r="A46" s="446"/>
      <c r="B46" s="202" t="str">
        <f>IF($C47&gt;0,IF(MAX(B45,E45)&lt;informatieblad!$Q$4,informatieblad!$P$3,IF(MAX(B45,E45)&gt;informatieblad!$R$4,informatieblad!$P$5,informatieblad!$P$4)),"")</f>
        <v/>
      </c>
      <c r="C46" s="202" t="str">
        <f>IF($C47&gt;0,IF(MAX(C45,E45)&lt;informatieblad!$Q$4,informatieblad!$P$3,IF(MAX(C45,E45)&gt;informatieblad!$R$4,informatieblad!$P$5,informatieblad!$P$4)),"")</f>
        <v/>
      </c>
      <c r="D46" s="203" t="str">
        <f>IF($C47&gt;0,IF(MAX(D45,E45)&lt;informatieblad!$Q$4,informatieblad!$P$3,IF(MAX(D45,E45)&gt;informatieblad!$R$4,informatieblad!$P$5,informatieblad!$P$4)),"")</f>
        <v/>
      </c>
      <c r="E46" s="190" t="str">
        <f>A45&amp;"-"&amp;informatieblad!$B$16&amp;"-"&amp;B45&amp;"-"&amp;C45&amp;"-"&amp;D45&amp;"-"&amp;E45&amp;"-"&amp;F45&amp;"-"&amp;G45&amp;"-"&amp;H45&amp;"-"&amp;I45&amp;"-"&amp;B46&amp;"-"&amp;C46&amp;"-"&amp;D46&amp;"-"&amp;G47</f>
        <v>-RctT--0---0-0-0-0----Options None</v>
      </c>
      <c r="F46" s="174"/>
      <c r="G46" s="174"/>
      <c r="H46" s="174"/>
      <c r="I46" s="199"/>
      <c r="J46" s="83"/>
      <c r="S46" s="103">
        <f>A45</f>
        <v>0</v>
      </c>
      <c r="T46" s="104" t="s">
        <v>39</v>
      </c>
      <c r="U46" s="104" t="s">
        <v>39</v>
      </c>
      <c r="V46" s="104" t="s">
        <v>40</v>
      </c>
      <c r="W46" s="104" t="s">
        <v>40</v>
      </c>
      <c r="X46" s="104" t="s">
        <v>40</v>
      </c>
      <c r="Y46" s="105"/>
      <c r="Z46" s="155" t="s">
        <v>27</v>
      </c>
      <c r="AA46" s="155" t="s">
        <v>40</v>
      </c>
      <c r="AB46" s="155" t="s">
        <v>41</v>
      </c>
      <c r="AC46" s="156" t="s">
        <v>105</v>
      </c>
      <c r="AD46" s="104" t="s">
        <v>106</v>
      </c>
      <c r="AE46" s="107" t="s">
        <v>87</v>
      </c>
      <c r="AF46" s="107" t="s">
        <v>44</v>
      </c>
      <c r="AG46" s="107"/>
      <c r="AH46" s="104" t="s">
        <v>40</v>
      </c>
      <c r="AI46" s="104" t="s">
        <v>41</v>
      </c>
      <c r="AJ46" s="108"/>
      <c r="AK46" s="109"/>
      <c r="AM46" s="262" t="str">
        <f>informatieblad!$A$2</f>
        <v>FL20 loose</v>
      </c>
      <c r="AN46" s="263"/>
      <c r="AO46" s="263"/>
      <c r="AP46" s="262" t="str">
        <f>informatieblad!$A$3</f>
        <v>FL30 loose</v>
      </c>
      <c r="AQ46" s="263"/>
      <c r="AR46" s="105"/>
      <c r="AS46" s="263" t="str">
        <f>informatieblad!$A$4</f>
        <v>FL40 loose</v>
      </c>
      <c r="AT46" s="263"/>
      <c r="AU46" s="105"/>
      <c r="AV46" s="265"/>
      <c r="AW46" s="106"/>
      <c r="AX46" s="105"/>
      <c r="AY46" s="83"/>
      <c r="AZ46" s="267"/>
      <c r="BA46" s="83"/>
      <c r="BB46" s="267"/>
      <c r="BC46" s="83"/>
      <c r="BD46" s="265" t="s">
        <v>47</v>
      </c>
      <c r="BE46" s="106" t="s">
        <v>48</v>
      </c>
      <c r="BF46" s="106" t="s">
        <v>48</v>
      </c>
      <c r="BG46" s="290" t="s">
        <v>23</v>
      </c>
      <c r="BH46" s="83" t="s">
        <v>23</v>
      </c>
      <c r="BI46" s="83" t="s">
        <v>23</v>
      </c>
      <c r="BJ46" s="290" t="s">
        <v>23</v>
      </c>
      <c r="BK46" s="83" t="s">
        <v>23</v>
      </c>
      <c r="BL46" s="273" t="s">
        <v>23</v>
      </c>
    </row>
    <row r="47" spans="1:64" ht="15.75" thickBot="1">
      <c r="A47" s="447"/>
      <c r="B47" s="92" t="s">
        <v>23</v>
      </c>
      <c r="C47" s="110"/>
      <c r="D47" s="94">
        <f>C47*U47</f>
        <v>0</v>
      </c>
      <c r="E47" s="141" t="s">
        <v>24</v>
      </c>
      <c r="F47" s="200"/>
      <c r="G47" s="457" t="s">
        <v>25</v>
      </c>
      <c r="H47" s="491"/>
      <c r="I47" s="492"/>
      <c r="J47" s="176"/>
      <c r="S47" s="111"/>
      <c r="T47" s="112">
        <f>(((2*(B45+E45))*(D45+G45+H45+F45))+((2*(D45+E45))*(C45+I45+F45)))/1000000</f>
        <v>0</v>
      </c>
      <c r="U47" s="112">
        <f>((IF(T47&lt;=informatieblad!$I$16,informatieblad!$I$16,IF(T47&gt;=informatieblad!$I$16,T47))))</f>
        <v>0.5</v>
      </c>
      <c r="V47" s="112">
        <f>(((2*(B45+E45))*(D45+G45+H45+F45))+((2*(D45+E45))*(C45+I45+F45)))/1000000</f>
        <v>0</v>
      </c>
      <c r="W47" s="112">
        <f>((IF(V47&lt;=informatieblad!$H$16,informatieblad!$H$16,IF(V47&gt;=informatieblad!$H$16,V47))))</f>
        <v>0</v>
      </c>
      <c r="X47" s="113">
        <f>((W47*AH47)+(W47*AA47))*C47</f>
        <v>0</v>
      </c>
      <c r="Y47" s="114">
        <f>((U47*AI47)+(U47*AB47))*C47</f>
        <v>0</v>
      </c>
      <c r="Z47" s="115" t="str">
        <f>G47</f>
        <v>Options None</v>
      </c>
      <c r="AA47" s="115">
        <f>VLOOKUP(G47,informatieblad!$A$37:$D$41,2,FALSE)</f>
        <v>0</v>
      </c>
      <c r="AB47" s="115">
        <f>VLOOKUP(G47,informatieblad!$A$37:$D$41,4,FALSE)</f>
        <v>0</v>
      </c>
      <c r="AC47" s="180">
        <f>(MAX(J45,K45))</f>
        <v>0</v>
      </c>
      <c r="AD47" s="119">
        <f>(MAX(L45,M45))</f>
        <v>0</v>
      </c>
      <c r="AE47" s="119">
        <f>(MAX(J45,L45))</f>
        <v>0</v>
      </c>
      <c r="AF47" s="119">
        <f>(MAX(B45:E45))</f>
        <v>0</v>
      </c>
      <c r="AG47" s="119">
        <f>LOOKUP(AF47,informatieblad!$C$27:$C$32,informatieblad!$A$27:$A$32)</f>
        <v>0.5</v>
      </c>
      <c r="AH47" s="118">
        <f>VLOOKUP(AG47,informatieblad!$A$27:$M$32,6,FALSE)</f>
        <v>0</v>
      </c>
      <c r="AI47" s="118">
        <f>VLOOKUP(AG47,informatieblad!$A$27:$M$32,8,FALSE)</f>
        <v>45.1248</v>
      </c>
      <c r="AJ47" s="120">
        <f>VLOOKUP(AG47,informatieblad!$A$27:$M$32,13,FALSE)</f>
        <v>4</v>
      </c>
      <c r="AK47" s="121">
        <f>ROUND((AJ47*V47),1)</f>
        <v>0</v>
      </c>
      <c r="AM47" s="111">
        <f>(IF(B46=AM45,((2*B45)+(2*E45)),IF(B46=AM46,((2*B45)+(2*E45)),0)))*C47</f>
        <v>0</v>
      </c>
      <c r="AN47" s="261">
        <f>(IF(C46=AM45,((2*C45)+(2*E45)),IF(C46=AM46,((2*C45)+(2*E45)),0)))*C47</f>
        <v>0</v>
      </c>
      <c r="AO47" s="261">
        <f>(IF(D46=AM45,((2*D45)+(2*E45)),IF(D46=AM46,((2*D45)+(2*E45)),0)))*C47</f>
        <v>0</v>
      </c>
      <c r="AP47" s="111">
        <f>(IF(B46=AP45,((2*B45)+(2*E45)),IF(B46=AP46,((2*B45)+(2*E45)),0)))*C47</f>
        <v>0</v>
      </c>
      <c r="AQ47" s="261">
        <f>(IF(C46=AP45,((2*C45)+(2*E45)),IF(C46=AP46,((2*C45)+(2*E45)),0)))*C47</f>
        <v>0</v>
      </c>
      <c r="AR47" s="260">
        <f>(IF(D46=AP45,((2*D45)+(2*E45)),IF(D46=AP46,((2*D45)+(2*E45)),0)))*C47</f>
        <v>0</v>
      </c>
      <c r="AS47" s="261">
        <f>(IF(B46=AS45,((2*B45)+(2*E45)),IF(B46=AS46,((2*B45)+(2*E45)),0)))*C47</f>
        <v>0</v>
      </c>
      <c r="AT47" s="261">
        <f>(IF(C46=AS45,((2*C45)+(2*E45)),IF(C46=AS46,((2*C45)+(2*E45)),0)))*C47</f>
        <v>0</v>
      </c>
      <c r="AU47" s="260">
        <f>(IF(D46=AS45,((2*D45)+(2*E45)),IF(D46=AS46,((2*D45)+(2*E45)),0)))*C47</f>
        <v>0</v>
      </c>
      <c r="AV47" s="111">
        <f>(IF(B46=AV45,((2*B45)+(2*E45)),0))*C47</f>
        <v>0</v>
      </c>
      <c r="AW47" s="261">
        <f>(IF(C46=AV45,((2*C45)+(2*E45)),0))*C47</f>
        <v>0</v>
      </c>
      <c r="AX47" s="260">
        <f>(IF(D46=AV45,((2*D45)+(2*E45)),0))*C47</f>
        <v>0</v>
      </c>
      <c r="AY47" s="83"/>
      <c r="AZ47" s="268">
        <f>(D45+H33+H33+G45+I45)*C47</f>
        <v>0</v>
      </c>
      <c r="BA47" s="83"/>
      <c r="BB47" s="268">
        <f>(AE47+100)*C47</f>
        <v>0</v>
      </c>
      <c r="BC47" s="83"/>
      <c r="BD47" s="111" t="str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/>
      </c>
      <c r="BE47" s="275" t="str">
        <f>IF(C46=informatieblad!$A$6,informatieblad!$B$6,IF(C46=informatieblad!$A$7,informatieblad!$B$7,IF(C46=informatieblad!$A$8,informatieblad!$B$8,IF(C46=informatieblad!$A$2,informatieblad!$B$2,IF(C46=informatieblad!$A$3,informatieblad!$B$3,IF(C46=informatieblad!$A$4,informatieblad!$B$4,IF(C46=informatieblad!$A$5,informatieblad!$B$5,"")))))))</f>
        <v/>
      </c>
      <c r="BF47" s="276" t="str">
        <f>IF(D46=informatieblad!$A$6,informatieblad!$B$6,IF(D46=informatieblad!$A$7,informatieblad!$B$7,IF(D46=informatieblad!$A$8,informatieblad!$B$8,IF(D46=informatieblad!$A$2,informatieblad!$B$2,IF(D46=informatieblad!$A$3,informatieblad!$B$3,IF(D46=informatieblad!$A$4,informatieblad!$B$4,IF(D46=informatieblad!$A$5,informatieblad!$B$5,"")))))))</f>
        <v/>
      </c>
      <c r="BG47" s="276">
        <f>IF(BD47=BG45,(4*C47),0)</f>
        <v>0</v>
      </c>
      <c r="BH47" s="276">
        <f>IF(BE47=BG45,(4*C47),0)</f>
        <v>0</v>
      </c>
      <c r="BI47" s="276">
        <f>IF(BF47=BG45,(4*C47),0)</f>
        <v>0</v>
      </c>
      <c r="BJ47" s="275">
        <f>IF(BD47=BJ45,(4*C47),0)</f>
        <v>0</v>
      </c>
      <c r="BK47" s="276">
        <f>IF(BE47=BJ45,(4*C47),0)</f>
        <v>0</v>
      </c>
      <c r="BL47" s="274">
        <f>IF(BF47=BJ45,(4*C47),0)</f>
        <v>0</v>
      </c>
    </row>
    <row r="48" spans="1:64" ht="5.0999999999999996" customHeight="1" thickBot="1">
      <c r="A48" s="145"/>
      <c r="B48" s="122"/>
      <c r="C48" s="122"/>
      <c r="D48" s="122"/>
      <c r="E48" s="122"/>
      <c r="F48" s="122"/>
      <c r="G48" s="122"/>
      <c r="H48" s="122"/>
      <c r="I48" s="146"/>
    </row>
    <row r="49" spans="1:64" ht="15" thickBot="1">
      <c r="A49" s="445"/>
      <c r="B49" s="96"/>
      <c r="C49" s="300">
        <f>B49</f>
        <v>0</v>
      </c>
      <c r="D49" s="96"/>
      <c r="E49" s="96"/>
      <c r="F49" s="300">
        <f>(B49&gt;0)*$H$9</f>
        <v>0</v>
      </c>
      <c r="G49" s="300">
        <f>(C49&gt;0)*$H$10</f>
        <v>0</v>
      </c>
      <c r="H49" s="300">
        <f>(D49&gt;0)*$H$11</f>
        <v>0</v>
      </c>
      <c r="I49" s="302">
        <f>(E49&gt;0)*$H$12</f>
        <v>0</v>
      </c>
      <c r="J49" s="345" t="s">
        <v>20</v>
      </c>
      <c r="S49" s="97" t="s">
        <v>14</v>
      </c>
      <c r="T49" s="98" t="s">
        <v>27</v>
      </c>
      <c r="U49" s="98" t="s">
        <v>28</v>
      </c>
      <c r="V49" s="98" t="s">
        <v>27</v>
      </c>
      <c r="W49" s="98" t="s">
        <v>28</v>
      </c>
      <c r="X49" s="98" t="s">
        <v>29</v>
      </c>
      <c r="Y49" s="66" t="s">
        <v>30</v>
      </c>
      <c r="Z49" s="153" t="s">
        <v>31</v>
      </c>
      <c r="AA49" s="153"/>
      <c r="AB49" s="153"/>
      <c r="AC49" s="154" t="s">
        <v>83</v>
      </c>
      <c r="AD49" s="100" t="s">
        <v>83</v>
      </c>
      <c r="AE49" s="100" t="s">
        <v>83</v>
      </c>
      <c r="AF49" s="100" t="s">
        <v>33</v>
      </c>
      <c r="AG49" s="100" t="s">
        <v>34</v>
      </c>
      <c r="AH49" s="98" t="s">
        <v>32</v>
      </c>
      <c r="AI49" s="98" t="s">
        <v>32</v>
      </c>
      <c r="AJ49" s="98" t="s">
        <v>35</v>
      </c>
      <c r="AK49" s="101" t="s">
        <v>36</v>
      </c>
      <c r="AM49" s="97" t="str">
        <f>informatieblad!$A$6</f>
        <v>FL20</v>
      </c>
      <c r="AN49" s="99"/>
      <c r="AO49" s="99"/>
      <c r="AP49" s="97" t="str">
        <f>informatieblad!$A$7</f>
        <v>FL30</v>
      </c>
      <c r="AQ49" s="99"/>
      <c r="AR49" s="66"/>
      <c r="AS49" s="99" t="str">
        <f>informatieblad!$A$8</f>
        <v>FL40</v>
      </c>
      <c r="AT49" s="99"/>
      <c r="AU49" s="66"/>
      <c r="AV49" s="97" t="str">
        <f>informatieblad!$A$5</f>
        <v>none</v>
      </c>
      <c r="AW49" s="99"/>
      <c r="AX49" s="264"/>
      <c r="AY49" s="83"/>
      <c r="AZ49" s="266" t="s">
        <v>17</v>
      </c>
      <c r="BA49" s="131"/>
      <c r="BB49" s="266" t="s">
        <v>37</v>
      </c>
      <c r="BC49" s="131"/>
      <c r="BD49" s="269" t="s">
        <v>38</v>
      </c>
      <c r="BE49" s="272"/>
      <c r="BF49" s="272"/>
      <c r="BG49" s="289">
        <f>informatieblad!$B$3</f>
        <v>0</v>
      </c>
      <c r="BH49" s="272"/>
      <c r="BI49" s="272"/>
      <c r="BJ49" s="289">
        <f>informatieblad!$B$4</f>
        <v>0</v>
      </c>
      <c r="BK49" s="272"/>
      <c r="BL49" s="264"/>
    </row>
    <row r="50" spans="1:64">
      <c r="A50" s="446"/>
      <c r="B50" s="202" t="str">
        <f>IF($C51&gt;0,IF(MAX(B49,E49)&lt;informatieblad!$Q$4,informatieblad!$P$3,IF(MAX(B49,E49)&gt;informatieblad!$R$4,informatieblad!$P$5,informatieblad!$P$4)),"")</f>
        <v/>
      </c>
      <c r="C50" s="202" t="str">
        <f>IF($C51&gt;0,IF(MAX(C49,E49)&lt;informatieblad!$Q$4,informatieblad!$P$3,IF(MAX(C49,E49)&gt;informatieblad!$R$4,informatieblad!$P$5,informatieblad!$P$4)),"")</f>
        <v/>
      </c>
      <c r="D50" s="203" t="str">
        <f>IF($C51&gt;0,IF(MAX(D49,E49)&lt;informatieblad!$Q$4,informatieblad!$P$3,IF(MAX(D49,E49)&gt;informatieblad!$R$4,informatieblad!$P$5,informatieblad!$P$4)),"")</f>
        <v/>
      </c>
      <c r="E50" s="190" t="str">
        <f>A49&amp;"-"&amp;informatieblad!$B$16&amp;"-"&amp;B49&amp;"-"&amp;C49&amp;"-"&amp;D49&amp;"-"&amp;E49&amp;"-"&amp;F49&amp;"-"&amp;G49&amp;"-"&amp;H49&amp;"-"&amp;I49&amp;"-"&amp;B50&amp;"-"&amp;C50&amp;"-"&amp;D50&amp;"-"&amp;G51</f>
        <v>-RctT--0---0-0-0-0----Options None</v>
      </c>
      <c r="F50" s="174"/>
      <c r="G50" s="174"/>
      <c r="H50" s="174"/>
      <c r="I50" s="199"/>
      <c r="J50" s="83"/>
      <c r="S50" s="103">
        <f>A49</f>
        <v>0</v>
      </c>
      <c r="T50" s="104" t="s">
        <v>39</v>
      </c>
      <c r="U50" s="104" t="s">
        <v>39</v>
      </c>
      <c r="V50" s="104" t="s">
        <v>40</v>
      </c>
      <c r="W50" s="104" t="s">
        <v>40</v>
      </c>
      <c r="X50" s="104" t="s">
        <v>40</v>
      </c>
      <c r="Y50" s="105"/>
      <c r="Z50" s="155" t="s">
        <v>27</v>
      </c>
      <c r="AA50" s="155" t="s">
        <v>40</v>
      </c>
      <c r="AB50" s="155" t="s">
        <v>41</v>
      </c>
      <c r="AC50" s="156" t="s">
        <v>105</v>
      </c>
      <c r="AD50" s="104" t="s">
        <v>106</v>
      </c>
      <c r="AE50" s="107" t="s">
        <v>87</v>
      </c>
      <c r="AF50" s="107" t="s">
        <v>44</v>
      </c>
      <c r="AG50" s="107"/>
      <c r="AH50" s="104" t="s">
        <v>40</v>
      </c>
      <c r="AI50" s="104" t="s">
        <v>41</v>
      </c>
      <c r="AJ50" s="108"/>
      <c r="AK50" s="109"/>
      <c r="AM50" s="262" t="str">
        <f>informatieblad!$A$2</f>
        <v>FL20 loose</v>
      </c>
      <c r="AN50" s="263"/>
      <c r="AO50" s="263"/>
      <c r="AP50" s="262" t="str">
        <f>informatieblad!$A$3</f>
        <v>FL30 loose</v>
      </c>
      <c r="AQ50" s="263"/>
      <c r="AR50" s="105"/>
      <c r="AS50" s="263" t="str">
        <f>informatieblad!$A$4</f>
        <v>FL40 loose</v>
      </c>
      <c r="AT50" s="263"/>
      <c r="AU50" s="105"/>
      <c r="AV50" s="265"/>
      <c r="AW50" s="106"/>
      <c r="AX50" s="105"/>
      <c r="AY50" s="83"/>
      <c r="AZ50" s="267"/>
      <c r="BA50" s="83"/>
      <c r="BB50" s="267"/>
      <c r="BC50" s="83"/>
      <c r="BD50" s="265" t="s">
        <v>47</v>
      </c>
      <c r="BE50" s="106" t="s">
        <v>48</v>
      </c>
      <c r="BF50" s="106" t="s">
        <v>48</v>
      </c>
      <c r="BG50" s="290" t="s">
        <v>23</v>
      </c>
      <c r="BH50" s="83" t="s">
        <v>23</v>
      </c>
      <c r="BI50" s="83" t="s">
        <v>23</v>
      </c>
      <c r="BJ50" s="290" t="s">
        <v>23</v>
      </c>
      <c r="BK50" s="83" t="s">
        <v>23</v>
      </c>
      <c r="BL50" s="273" t="s">
        <v>23</v>
      </c>
    </row>
    <row r="51" spans="1:64" ht="15.75" thickBot="1">
      <c r="A51" s="447"/>
      <c r="B51" s="92" t="s">
        <v>23</v>
      </c>
      <c r="C51" s="110"/>
      <c r="D51" s="94">
        <f>C51*U51</f>
        <v>0</v>
      </c>
      <c r="E51" s="141" t="s">
        <v>24</v>
      </c>
      <c r="F51" s="200"/>
      <c r="G51" s="457" t="s">
        <v>25</v>
      </c>
      <c r="H51" s="491"/>
      <c r="I51" s="492"/>
      <c r="J51" s="176"/>
      <c r="S51" s="111"/>
      <c r="T51" s="112">
        <f>(((2*(B49+E49))*(D49+G49+H49+F49))+((2*(D49+E49))*(C49+I49+F49)))/1000000</f>
        <v>0</v>
      </c>
      <c r="U51" s="112">
        <f>((IF(T51&lt;=informatieblad!$I$16,informatieblad!$I$16,IF(T51&gt;=informatieblad!$I$16,T51))))</f>
        <v>0.5</v>
      </c>
      <c r="V51" s="112">
        <f>(((2*(B49+E49))*(D49+G49+H49+F49))+((2*(D49+E49))*(C49+I49+F49)))/1000000</f>
        <v>0</v>
      </c>
      <c r="W51" s="112">
        <f>((IF(V51&lt;=informatieblad!$H$16,informatieblad!$H$16,IF(V51&gt;=informatieblad!$H$16,V51))))</f>
        <v>0</v>
      </c>
      <c r="X51" s="113">
        <f>((W51*AH51)+(W51*AA51))*C51</f>
        <v>0</v>
      </c>
      <c r="Y51" s="114">
        <f>((U51*AI51)+(U51*AB51))*C51</f>
        <v>0</v>
      </c>
      <c r="Z51" s="115" t="str">
        <f>G51</f>
        <v>Options None</v>
      </c>
      <c r="AA51" s="115">
        <f>VLOOKUP(G51,informatieblad!$A$37:$D$41,2,FALSE)</f>
        <v>0</v>
      </c>
      <c r="AB51" s="115">
        <f>VLOOKUP(G51,informatieblad!$A$37:$D$41,4,FALSE)</f>
        <v>0</v>
      </c>
      <c r="AC51" s="180">
        <f>(MAX(J49,K49))</f>
        <v>0</v>
      </c>
      <c r="AD51" s="119">
        <f>(MAX(L49,M49))</f>
        <v>0</v>
      </c>
      <c r="AE51" s="119">
        <f>(MAX(J49,L49))</f>
        <v>0</v>
      </c>
      <c r="AF51" s="119">
        <f>(MAX(B49:E49))</f>
        <v>0</v>
      </c>
      <c r="AG51" s="119">
        <f>LOOKUP(AF51,informatieblad!$C$27:$C$32,informatieblad!$A$27:$A$32)</f>
        <v>0.5</v>
      </c>
      <c r="AH51" s="118">
        <f>VLOOKUP(AG51,informatieblad!$A$27:$M$32,6,FALSE)</f>
        <v>0</v>
      </c>
      <c r="AI51" s="118">
        <f>VLOOKUP(AG51,informatieblad!$A$27:$M$32,8,FALSE)</f>
        <v>45.1248</v>
      </c>
      <c r="AJ51" s="120">
        <f>VLOOKUP(AG51,informatieblad!$A$27:$M$32,13,FALSE)</f>
        <v>4</v>
      </c>
      <c r="AK51" s="121">
        <f>ROUND((AJ51*V51),1)</f>
        <v>0</v>
      </c>
      <c r="AM51" s="111">
        <f>(IF(B50=AM49,((2*B49)+(2*E49)),IF(B50=AM50,((2*B49)+(2*E49)),0)))*C51</f>
        <v>0</v>
      </c>
      <c r="AN51" s="261">
        <f>(IF(C50=AM49,((2*C49)+(2*E49)),IF(C50=AM50,((2*C49)+(2*E49)),0)))*C51</f>
        <v>0</v>
      </c>
      <c r="AO51" s="261">
        <f>(IF(D50=AM49,((2*D49)+(2*E49)),IF(D50=AM50,((2*D49)+(2*E49)),0)))*C51</f>
        <v>0</v>
      </c>
      <c r="AP51" s="111">
        <f>(IF(B50=AP49,((2*B49)+(2*E49)),IF(B50=AP50,((2*B49)+(2*E49)),0)))*C51</f>
        <v>0</v>
      </c>
      <c r="AQ51" s="261">
        <f>(IF(C50=AP49,((2*C49)+(2*E49)),IF(C50=AP50,((2*C49)+(2*E49)),0)))*C51</f>
        <v>0</v>
      </c>
      <c r="AR51" s="260">
        <f>(IF(D50=AP49,((2*D49)+(2*E49)),IF(D50=AP50,((2*D49)+(2*E49)),0)))*C51</f>
        <v>0</v>
      </c>
      <c r="AS51" s="261">
        <f>(IF(B50=AS49,((2*B49)+(2*E49)),IF(B50=AS50,((2*B49)+(2*E49)),0)))*C51</f>
        <v>0</v>
      </c>
      <c r="AT51" s="261">
        <f>(IF(C50=AS49,((2*C49)+(2*E49)),IF(C50=AS50,((2*C49)+(2*E49)),0)))*C51</f>
        <v>0</v>
      </c>
      <c r="AU51" s="260">
        <f>(IF(D50=AS49,((2*D49)+(2*E49)),IF(D50=AS50,((2*D49)+(2*E49)),0)))*C51</f>
        <v>0</v>
      </c>
      <c r="AV51" s="111">
        <f>(IF(B50=AV49,((2*B49)+(2*E49)),0))*C51</f>
        <v>0</v>
      </c>
      <c r="AW51" s="261">
        <f>(IF(C50=AV49,((2*C49)+(2*E49)),0))*C51</f>
        <v>0</v>
      </c>
      <c r="AX51" s="260">
        <f>(IF(D50=AV49,((2*D49)+(2*E49)),0))*C51</f>
        <v>0</v>
      </c>
      <c r="AY51" s="83"/>
      <c r="AZ51" s="268">
        <f>(D49+H37+H37+G49+I49)*C51</f>
        <v>0</v>
      </c>
      <c r="BA51" s="83"/>
      <c r="BB51" s="268">
        <f>(AE51+100)*C51</f>
        <v>0</v>
      </c>
      <c r="BC51" s="83"/>
      <c r="BD51" s="111" t="str">
        <f>IF(B50=informatieblad!$A$6,informatieblad!$B$6,IF(B50=informatieblad!$A$7,informatieblad!$B$7,IF(B50=informatieblad!$A$8,informatieblad!$B$8,IF(B50=informatieblad!$A$2,informatieblad!$B$2,IF(B50=informatieblad!$A$3,informatieblad!$B$3,IF(B50=informatieblad!$A$4,informatieblad!$B$4,IF(B50=informatieblad!$A$5,informatieblad!$B$5,"")))))))</f>
        <v/>
      </c>
      <c r="BE51" s="275" t="str">
        <f>IF(C50=informatieblad!$A$6,informatieblad!$B$6,IF(C50=informatieblad!$A$7,informatieblad!$B$7,IF(C50=informatieblad!$A$8,informatieblad!$B$8,IF(C50=informatieblad!$A$2,informatieblad!$B$2,IF(C50=informatieblad!$A$3,informatieblad!$B$3,IF(C50=informatieblad!$A$4,informatieblad!$B$4,IF(C50=informatieblad!$A$5,informatieblad!$B$5,"")))))))</f>
        <v/>
      </c>
      <c r="BF51" s="276" t="str">
        <f>IF(D50=informatieblad!$A$6,informatieblad!$B$6,IF(D50=informatieblad!$A$7,informatieblad!$B$7,IF(D50=informatieblad!$A$8,informatieblad!$B$8,IF(D50=informatieblad!$A$2,informatieblad!$B$2,IF(D50=informatieblad!$A$3,informatieblad!$B$3,IF(D50=informatieblad!$A$4,informatieblad!$B$4,IF(D50=informatieblad!$A$5,informatieblad!$B$5,"")))))))</f>
        <v/>
      </c>
      <c r="BG51" s="276">
        <f>IF(BD51=BG49,(4*C51),0)</f>
        <v>0</v>
      </c>
      <c r="BH51" s="276">
        <f>IF(BE51=BG49,(4*C51),0)</f>
        <v>0</v>
      </c>
      <c r="BI51" s="276">
        <f>IF(BF51=BG49,(4*C51),0)</f>
        <v>0</v>
      </c>
      <c r="BJ51" s="275">
        <f>IF(BD51=BJ49,(4*C51),0)</f>
        <v>0</v>
      </c>
      <c r="BK51" s="276">
        <f>IF(BE51=BJ49,(4*C51),0)</f>
        <v>0</v>
      </c>
      <c r="BL51" s="274">
        <f>IF(BF51=BJ49,(4*C51),0)</f>
        <v>0</v>
      </c>
    </row>
    <row r="52" spans="1:64" ht="5.0999999999999996" customHeight="1" thickBot="1">
      <c r="A52" s="145"/>
      <c r="B52" s="122"/>
      <c r="C52" s="122"/>
      <c r="D52" s="122"/>
      <c r="E52" s="122"/>
      <c r="F52" s="122"/>
      <c r="G52" s="122"/>
      <c r="H52" s="122"/>
      <c r="I52" s="146"/>
    </row>
    <row r="53" spans="1:64" ht="15" thickBot="1">
      <c r="A53" s="445"/>
      <c r="B53" s="96"/>
      <c r="C53" s="300">
        <f>B53</f>
        <v>0</v>
      </c>
      <c r="D53" s="96"/>
      <c r="E53" s="96"/>
      <c r="F53" s="300">
        <f>(B53&gt;0)*$H$9</f>
        <v>0</v>
      </c>
      <c r="G53" s="300">
        <f>(C53&gt;0)*$H$10</f>
        <v>0</v>
      </c>
      <c r="H53" s="300">
        <f>(D53&gt;0)*$H$11</f>
        <v>0</v>
      </c>
      <c r="I53" s="302">
        <f>(E53&gt;0)*$H$12</f>
        <v>0</v>
      </c>
      <c r="J53" s="345" t="s">
        <v>20</v>
      </c>
      <c r="S53" s="97" t="s">
        <v>14</v>
      </c>
      <c r="T53" s="98" t="s">
        <v>27</v>
      </c>
      <c r="U53" s="98" t="s">
        <v>28</v>
      </c>
      <c r="V53" s="98" t="s">
        <v>27</v>
      </c>
      <c r="W53" s="98" t="s">
        <v>28</v>
      </c>
      <c r="X53" s="98" t="s">
        <v>29</v>
      </c>
      <c r="Y53" s="66" t="s">
        <v>30</v>
      </c>
      <c r="Z53" s="153" t="s">
        <v>31</v>
      </c>
      <c r="AA53" s="153"/>
      <c r="AB53" s="153"/>
      <c r="AC53" s="154" t="s">
        <v>83</v>
      </c>
      <c r="AD53" s="100" t="s">
        <v>83</v>
      </c>
      <c r="AE53" s="100" t="s">
        <v>83</v>
      </c>
      <c r="AF53" s="100" t="s">
        <v>33</v>
      </c>
      <c r="AG53" s="100" t="s">
        <v>34</v>
      </c>
      <c r="AH53" s="98" t="s">
        <v>32</v>
      </c>
      <c r="AI53" s="98" t="s">
        <v>32</v>
      </c>
      <c r="AJ53" s="98" t="s">
        <v>35</v>
      </c>
      <c r="AK53" s="101" t="s">
        <v>36</v>
      </c>
      <c r="AM53" s="97" t="str">
        <f>informatieblad!$A$6</f>
        <v>FL20</v>
      </c>
      <c r="AN53" s="99"/>
      <c r="AO53" s="99"/>
      <c r="AP53" s="97" t="str">
        <f>informatieblad!$A$7</f>
        <v>FL30</v>
      </c>
      <c r="AQ53" s="99"/>
      <c r="AR53" s="66"/>
      <c r="AS53" s="99" t="str">
        <f>informatieblad!$A$8</f>
        <v>FL40</v>
      </c>
      <c r="AT53" s="99"/>
      <c r="AU53" s="66"/>
      <c r="AV53" s="97" t="str">
        <f>informatieblad!$A$5</f>
        <v>none</v>
      </c>
      <c r="AW53" s="99"/>
      <c r="AX53" s="264"/>
      <c r="AY53" s="83"/>
      <c r="AZ53" s="266" t="s">
        <v>17</v>
      </c>
      <c r="BA53" s="131"/>
      <c r="BB53" s="266" t="s">
        <v>37</v>
      </c>
      <c r="BC53" s="131"/>
      <c r="BD53" s="269" t="s">
        <v>38</v>
      </c>
      <c r="BE53" s="272"/>
      <c r="BF53" s="272"/>
      <c r="BG53" s="289">
        <f>informatieblad!$B$3</f>
        <v>0</v>
      </c>
      <c r="BH53" s="272"/>
      <c r="BI53" s="272"/>
      <c r="BJ53" s="289">
        <f>informatieblad!$B$4</f>
        <v>0</v>
      </c>
      <c r="BK53" s="272"/>
      <c r="BL53" s="264"/>
    </row>
    <row r="54" spans="1:64">
      <c r="A54" s="446"/>
      <c r="B54" s="202" t="str">
        <f>IF($C55&gt;0,IF(MAX(B53,E53)&lt;informatieblad!$Q$4,informatieblad!$P$3,IF(MAX(B53,E53)&gt;informatieblad!$R$4,informatieblad!$P$5,informatieblad!$P$4)),"")</f>
        <v/>
      </c>
      <c r="C54" s="202" t="str">
        <f>IF($C55&gt;0,IF(MAX(C53,E53)&lt;informatieblad!$Q$4,informatieblad!$P$3,IF(MAX(C53,E53)&gt;informatieblad!$R$4,informatieblad!$P$5,informatieblad!$P$4)),"")</f>
        <v/>
      </c>
      <c r="D54" s="203" t="str">
        <f>IF($C55&gt;0,IF(MAX(D53,E53)&lt;informatieblad!$Q$4,informatieblad!$P$3,IF(MAX(D53,E53)&gt;informatieblad!$R$4,informatieblad!$P$5,informatieblad!$P$4)),"")</f>
        <v/>
      </c>
      <c r="E54" s="190" t="str">
        <f>A53&amp;"-"&amp;informatieblad!$B$16&amp;"-"&amp;B53&amp;"-"&amp;C53&amp;"-"&amp;D53&amp;"-"&amp;E53&amp;"-"&amp;F53&amp;"-"&amp;G53&amp;"-"&amp;H53&amp;"-"&amp;I53&amp;"-"&amp;B54&amp;"-"&amp;C54&amp;"-"&amp;D54&amp;"-"&amp;G55</f>
        <v>-RctT--0---0-0-0-0----Options None</v>
      </c>
      <c r="F54" s="174"/>
      <c r="G54" s="174"/>
      <c r="H54" s="174"/>
      <c r="I54" s="199"/>
      <c r="J54" s="83"/>
      <c r="S54" s="103">
        <f>A53</f>
        <v>0</v>
      </c>
      <c r="T54" s="104" t="s">
        <v>39</v>
      </c>
      <c r="U54" s="104" t="s">
        <v>39</v>
      </c>
      <c r="V54" s="104" t="s">
        <v>40</v>
      </c>
      <c r="W54" s="104" t="s">
        <v>40</v>
      </c>
      <c r="X54" s="104" t="s">
        <v>40</v>
      </c>
      <c r="Y54" s="105"/>
      <c r="Z54" s="155" t="s">
        <v>27</v>
      </c>
      <c r="AA54" s="155" t="s">
        <v>40</v>
      </c>
      <c r="AB54" s="155" t="s">
        <v>41</v>
      </c>
      <c r="AC54" s="156" t="s">
        <v>105</v>
      </c>
      <c r="AD54" s="104" t="s">
        <v>106</v>
      </c>
      <c r="AE54" s="107" t="s">
        <v>87</v>
      </c>
      <c r="AF54" s="107" t="s">
        <v>44</v>
      </c>
      <c r="AG54" s="107"/>
      <c r="AH54" s="104" t="s">
        <v>40</v>
      </c>
      <c r="AI54" s="104" t="s">
        <v>41</v>
      </c>
      <c r="AJ54" s="108"/>
      <c r="AK54" s="109"/>
      <c r="AM54" s="262" t="str">
        <f>informatieblad!$A$2</f>
        <v>FL20 loose</v>
      </c>
      <c r="AN54" s="263"/>
      <c r="AO54" s="263"/>
      <c r="AP54" s="262" t="str">
        <f>informatieblad!$A$3</f>
        <v>FL30 loose</v>
      </c>
      <c r="AQ54" s="263"/>
      <c r="AR54" s="105"/>
      <c r="AS54" s="263" t="str">
        <f>informatieblad!$A$4</f>
        <v>FL40 loose</v>
      </c>
      <c r="AT54" s="263"/>
      <c r="AU54" s="105"/>
      <c r="AV54" s="265"/>
      <c r="AW54" s="106"/>
      <c r="AX54" s="105"/>
      <c r="AY54" s="83"/>
      <c r="AZ54" s="267"/>
      <c r="BA54" s="83"/>
      <c r="BB54" s="267"/>
      <c r="BC54" s="83"/>
      <c r="BD54" s="265" t="s">
        <v>47</v>
      </c>
      <c r="BE54" s="106" t="s">
        <v>48</v>
      </c>
      <c r="BF54" s="106" t="s">
        <v>48</v>
      </c>
      <c r="BG54" s="290" t="s">
        <v>23</v>
      </c>
      <c r="BH54" s="83" t="s">
        <v>23</v>
      </c>
      <c r="BI54" s="83" t="s">
        <v>23</v>
      </c>
      <c r="BJ54" s="290" t="s">
        <v>23</v>
      </c>
      <c r="BK54" s="83" t="s">
        <v>23</v>
      </c>
      <c r="BL54" s="273" t="s">
        <v>23</v>
      </c>
    </row>
    <row r="55" spans="1:64" ht="15.75" thickBot="1">
      <c r="A55" s="447"/>
      <c r="B55" s="92" t="s">
        <v>23</v>
      </c>
      <c r="C55" s="110"/>
      <c r="D55" s="94">
        <f>C55*U55</f>
        <v>0</v>
      </c>
      <c r="E55" s="141" t="s">
        <v>24</v>
      </c>
      <c r="F55" s="200"/>
      <c r="G55" s="457" t="s">
        <v>25</v>
      </c>
      <c r="H55" s="491"/>
      <c r="I55" s="492"/>
      <c r="J55" s="176"/>
      <c r="S55" s="111"/>
      <c r="T55" s="112">
        <f>(((2*(B53+E53))*(D53+G53+H53+F53))+((2*(D53+E53))*(C53+I53+F53)))/1000000</f>
        <v>0</v>
      </c>
      <c r="U55" s="112">
        <f>((IF(T55&lt;=informatieblad!$I$16,informatieblad!$I$16,IF(T55&gt;=informatieblad!$I$16,T55))))</f>
        <v>0.5</v>
      </c>
      <c r="V55" s="112">
        <f>(((2*(B53+E53))*(D53+G53+H53+F53))+((2*(D53+E53))*(C53+I53+F53)))/1000000</f>
        <v>0</v>
      </c>
      <c r="W55" s="112">
        <f>((IF(V55&lt;=informatieblad!$H$16,informatieblad!$H$16,IF(V55&gt;=informatieblad!$H$16,V55))))</f>
        <v>0</v>
      </c>
      <c r="X55" s="113">
        <f>((W55*AH55)+(W55*AA55))*C55</f>
        <v>0</v>
      </c>
      <c r="Y55" s="114">
        <f>((U55*AI55)+(U55*AB55))*C55</f>
        <v>0</v>
      </c>
      <c r="Z55" s="115" t="str">
        <f>G55</f>
        <v>Options None</v>
      </c>
      <c r="AA55" s="115">
        <f>VLOOKUP(G55,informatieblad!$A$37:$D$41,2,FALSE)</f>
        <v>0</v>
      </c>
      <c r="AB55" s="115">
        <f>VLOOKUP(G55,informatieblad!$A$37:$D$41,4,FALSE)</f>
        <v>0</v>
      </c>
      <c r="AC55" s="180">
        <f>(MAX(J53,K53))</f>
        <v>0</v>
      </c>
      <c r="AD55" s="119">
        <f>(MAX(L53,M53))</f>
        <v>0</v>
      </c>
      <c r="AE55" s="119">
        <f>(MAX(J53,L53))</f>
        <v>0</v>
      </c>
      <c r="AF55" s="119">
        <f>(MAX(B53:E53))</f>
        <v>0</v>
      </c>
      <c r="AG55" s="119">
        <f>LOOKUP(AF55,informatieblad!$C$27:$C$32,informatieblad!$A$27:$A$32)</f>
        <v>0.5</v>
      </c>
      <c r="AH55" s="118">
        <f>VLOOKUP(AG55,informatieblad!$A$27:$M$32,6,FALSE)</f>
        <v>0</v>
      </c>
      <c r="AI55" s="118">
        <f>VLOOKUP(AG55,informatieblad!$A$27:$M$32,8,FALSE)</f>
        <v>45.1248</v>
      </c>
      <c r="AJ55" s="120">
        <f>VLOOKUP(AG55,informatieblad!$A$27:$M$32,13,FALSE)</f>
        <v>4</v>
      </c>
      <c r="AK55" s="121">
        <f>ROUND((AJ55*V55),1)</f>
        <v>0</v>
      </c>
      <c r="AM55" s="111">
        <f>(IF(B54=AM53,((2*B53)+(2*E53)),IF(B54=AM54,((2*B53)+(2*E53)),0)))*C55</f>
        <v>0</v>
      </c>
      <c r="AN55" s="261">
        <f>(IF(C54=AM53,((2*C53)+(2*E53)),IF(C54=AM54,((2*C53)+(2*E53)),0)))*C55</f>
        <v>0</v>
      </c>
      <c r="AO55" s="261">
        <f>(IF(D54=AM53,((2*D53)+(2*E53)),IF(D54=AM54,((2*D53)+(2*E53)),0)))*C55</f>
        <v>0</v>
      </c>
      <c r="AP55" s="111">
        <f>(IF(B54=AP53,((2*B53)+(2*E53)),IF(B54=AP54,((2*B53)+(2*E53)),0)))*C55</f>
        <v>0</v>
      </c>
      <c r="AQ55" s="261">
        <f>(IF(C54=AP53,((2*C53)+(2*E53)),IF(C54=AP54,((2*C53)+(2*E53)),0)))*C55</f>
        <v>0</v>
      </c>
      <c r="AR55" s="260">
        <f>(IF(D54=AP53,((2*D53)+(2*E53)),IF(D54=AP54,((2*D53)+(2*E53)),0)))*C55</f>
        <v>0</v>
      </c>
      <c r="AS55" s="261">
        <f>(IF(B54=AS53,((2*B53)+(2*E53)),IF(B54=AS54,((2*B53)+(2*E53)),0)))*C55</f>
        <v>0</v>
      </c>
      <c r="AT55" s="261">
        <f>(IF(C54=AS53,((2*C53)+(2*E53)),IF(C54=AS54,((2*C53)+(2*E53)),0)))*C55</f>
        <v>0</v>
      </c>
      <c r="AU55" s="260">
        <f>(IF(D54=AS53,((2*D53)+(2*E53)),IF(D54=AS54,((2*D53)+(2*E53)),0)))*C55</f>
        <v>0</v>
      </c>
      <c r="AV55" s="111">
        <f>(IF(B54=AV53,((2*B53)+(2*E53)),0))*C55</f>
        <v>0</v>
      </c>
      <c r="AW55" s="261">
        <f>(IF(C54=AV53,((2*C53)+(2*E53)),0))*C55</f>
        <v>0</v>
      </c>
      <c r="AX55" s="260">
        <f>(IF(D54=AV53,((2*D53)+(2*E53)),0))*C55</f>
        <v>0</v>
      </c>
      <c r="AY55" s="83"/>
      <c r="AZ55" s="268">
        <f>(D53+H41+H41+G53+I53)*C55</f>
        <v>0</v>
      </c>
      <c r="BA55" s="83"/>
      <c r="BB55" s="268">
        <f>(AE55+100)*C55</f>
        <v>0</v>
      </c>
      <c r="BC55" s="83"/>
      <c r="BD55" s="111" t="str">
        <f>IF(B54=informatieblad!$A$6,informatieblad!$B$6,IF(B54=informatieblad!$A$7,informatieblad!$B$7,IF(B54=informatieblad!$A$8,informatieblad!$B$8,IF(B54=informatieblad!$A$2,informatieblad!$B$2,IF(B54=informatieblad!$A$3,informatieblad!$B$3,IF(B54=informatieblad!$A$4,informatieblad!$B$4,IF(B54=informatieblad!$A$5,informatieblad!$B$5,"")))))))</f>
        <v/>
      </c>
      <c r="BE55" s="275" t="str">
        <f>IF(C54=informatieblad!$A$6,informatieblad!$B$6,IF(C54=informatieblad!$A$7,informatieblad!$B$7,IF(C54=informatieblad!$A$8,informatieblad!$B$8,IF(C54=informatieblad!$A$2,informatieblad!$B$2,IF(C54=informatieblad!$A$3,informatieblad!$B$3,IF(C54=informatieblad!$A$4,informatieblad!$B$4,IF(C54=informatieblad!$A$5,informatieblad!$B$5,"")))))))</f>
        <v/>
      </c>
      <c r="BF55" s="276" t="str">
        <f>IF(D54=informatieblad!$A$6,informatieblad!$B$6,IF(D54=informatieblad!$A$7,informatieblad!$B$7,IF(D54=informatieblad!$A$8,informatieblad!$B$8,IF(D54=informatieblad!$A$2,informatieblad!$B$2,IF(D54=informatieblad!$A$3,informatieblad!$B$3,IF(D54=informatieblad!$A$4,informatieblad!$B$4,IF(D54=informatieblad!$A$5,informatieblad!$B$5,"")))))))</f>
        <v/>
      </c>
      <c r="BG55" s="276">
        <f>IF(BD55=BG53,(4*C55),0)</f>
        <v>0</v>
      </c>
      <c r="BH55" s="276">
        <f>IF(BE55=BG53,(4*C55),0)</f>
        <v>0</v>
      </c>
      <c r="BI55" s="276">
        <f>IF(BF55=BG53,(4*C55),0)</f>
        <v>0</v>
      </c>
      <c r="BJ55" s="275">
        <f>IF(BD55=BJ53,(4*C55),0)</f>
        <v>0</v>
      </c>
      <c r="BK55" s="276">
        <f>IF(BE55=BJ53,(4*C55),0)</f>
        <v>0</v>
      </c>
      <c r="BL55" s="274">
        <f>IF(BF55=BJ53,(4*C55),0)</f>
        <v>0</v>
      </c>
    </row>
    <row r="56" spans="1:64" ht="5.0999999999999996" customHeight="1" thickBot="1">
      <c r="A56" s="201"/>
      <c r="B56" s="88"/>
      <c r="C56" s="88"/>
      <c r="D56" s="88"/>
      <c r="E56" s="88"/>
      <c r="F56" s="88"/>
      <c r="G56" s="88"/>
      <c r="H56" s="88"/>
      <c r="I56" s="146"/>
    </row>
    <row r="57" spans="1:64" ht="15" thickBot="1">
      <c r="A57" s="445"/>
      <c r="B57" s="96"/>
      <c r="C57" s="299">
        <f>B57</f>
        <v>0</v>
      </c>
      <c r="D57" s="96"/>
      <c r="E57" s="96"/>
      <c r="F57" s="299">
        <f>(B57&gt;0)*$H$9</f>
        <v>0</v>
      </c>
      <c r="G57" s="299">
        <f>(C57&gt;0)*$H$10</f>
        <v>0</v>
      </c>
      <c r="H57" s="299">
        <f>(D57&gt;0)*$H$11</f>
        <v>0</v>
      </c>
      <c r="I57" s="301">
        <f>(E57&gt;0)*$H$12</f>
        <v>0</v>
      </c>
      <c r="J57" s="345" t="s">
        <v>20</v>
      </c>
      <c r="S57" s="97" t="s">
        <v>14</v>
      </c>
      <c r="T57" s="98" t="s">
        <v>27</v>
      </c>
      <c r="U57" s="98" t="s">
        <v>28</v>
      </c>
      <c r="V57" s="98" t="s">
        <v>27</v>
      </c>
      <c r="W57" s="98" t="s">
        <v>28</v>
      </c>
      <c r="X57" s="98" t="s">
        <v>29</v>
      </c>
      <c r="Y57" s="66" t="s">
        <v>30</v>
      </c>
      <c r="Z57" s="153" t="s">
        <v>31</v>
      </c>
      <c r="AA57" s="153"/>
      <c r="AB57" s="153"/>
      <c r="AC57" s="154" t="s">
        <v>83</v>
      </c>
      <c r="AD57" s="100" t="s">
        <v>83</v>
      </c>
      <c r="AE57" s="100" t="s">
        <v>83</v>
      </c>
      <c r="AF57" s="100" t="s">
        <v>33</v>
      </c>
      <c r="AG57" s="100" t="s">
        <v>34</v>
      </c>
      <c r="AH57" s="98" t="s">
        <v>32</v>
      </c>
      <c r="AI57" s="98" t="s">
        <v>32</v>
      </c>
      <c r="AJ57" s="98" t="s">
        <v>49</v>
      </c>
      <c r="AK57" s="101" t="s">
        <v>36</v>
      </c>
      <c r="AM57" s="97" t="str">
        <f>informatieblad!$A$6</f>
        <v>FL20</v>
      </c>
      <c r="AN57" s="99"/>
      <c r="AO57" s="99"/>
      <c r="AP57" s="97" t="str">
        <f>informatieblad!$A$7</f>
        <v>FL30</v>
      </c>
      <c r="AQ57" s="99"/>
      <c r="AR57" s="66"/>
      <c r="AS57" s="99" t="str">
        <f>informatieblad!$A$8</f>
        <v>FL40</v>
      </c>
      <c r="AT57" s="99"/>
      <c r="AU57" s="66"/>
      <c r="AV57" s="97" t="str">
        <f>informatieblad!$A$5</f>
        <v>none</v>
      </c>
      <c r="AW57" s="99"/>
      <c r="AX57" s="264"/>
      <c r="AY57" s="83"/>
      <c r="AZ57" s="266" t="s">
        <v>17</v>
      </c>
      <c r="BA57" s="131"/>
      <c r="BB57" s="266" t="s">
        <v>37</v>
      </c>
      <c r="BC57" s="131"/>
      <c r="BD57" s="269" t="s">
        <v>38</v>
      </c>
      <c r="BE57" s="272"/>
      <c r="BF57" s="272"/>
      <c r="BG57" s="289">
        <f>informatieblad!$B$3</f>
        <v>0</v>
      </c>
      <c r="BH57" s="272"/>
      <c r="BI57" s="272"/>
      <c r="BJ57" s="289">
        <f>informatieblad!$B$4</f>
        <v>0</v>
      </c>
      <c r="BK57" s="272"/>
      <c r="BL57" s="264"/>
    </row>
    <row r="58" spans="1:64">
      <c r="A58" s="446"/>
      <c r="B58" s="202" t="str">
        <f>IF($C59&gt;0,IF(MAX(B57,E57)&lt;informatieblad!$Q$4,informatieblad!$P$3,IF(MAX(B57,E57)&gt;informatieblad!$R$4,informatieblad!$P$5,informatieblad!$P$4)),"")</f>
        <v/>
      </c>
      <c r="C58" s="202" t="str">
        <f>IF($C59&gt;0,IF(MAX(C57,E57)&lt;informatieblad!$Q$4,informatieblad!$P$3,IF(MAX(C57,E57)&gt;informatieblad!$R$4,informatieblad!$P$5,informatieblad!$P$4)),"")</f>
        <v/>
      </c>
      <c r="D58" s="203" t="str">
        <f>IF($C59&gt;0,IF(MAX(D57,E57)&lt;informatieblad!$Q$4,informatieblad!$P$3,IF(MAX(D57,E57)&gt;informatieblad!$R$4,informatieblad!$P$5,informatieblad!$P$4)),"")</f>
        <v/>
      </c>
      <c r="E58" s="190" t="str">
        <f>A57&amp;"-"&amp;informatieblad!$B$16&amp;"-"&amp;B57&amp;"-"&amp;C57&amp;"-"&amp;D57&amp;"-"&amp;E57&amp;"-"&amp;F57&amp;"-"&amp;G57&amp;"-"&amp;H57&amp;"-"&amp;I57&amp;"-"&amp;B58&amp;"-"&amp;C58&amp;"-"&amp;D58&amp;"-"&amp;G59</f>
        <v>-RctT--0---0-0-0-0----Options None</v>
      </c>
      <c r="F58" s="174"/>
      <c r="G58" s="174"/>
      <c r="H58" s="174"/>
      <c r="I58" s="199"/>
      <c r="J58" s="83"/>
      <c r="S58" s="103">
        <f>A57</f>
        <v>0</v>
      </c>
      <c r="T58" s="104" t="s">
        <v>39</v>
      </c>
      <c r="U58" s="104" t="s">
        <v>39</v>
      </c>
      <c r="V58" s="104" t="s">
        <v>40</v>
      </c>
      <c r="W58" s="104" t="s">
        <v>40</v>
      </c>
      <c r="X58" s="104" t="s">
        <v>40</v>
      </c>
      <c r="Y58" s="105"/>
      <c r="Z58" s="155" t="s">
        <v>27</v>
      </c>
      <c r="AA58" s="155" t="s">
        <v>40</v>
      </c>
      <c r="AB58" s="155" t="s">
        <v>41</v>
      </c>
      <c r="AC58" s="156" t="s">
        <v>107</v>
      </c>
      <c r="AD58" s="104" t="s">
        <v>108</v>
      </c>
      <c r="AE58" s="107" t="s">
        <v>91</v>
      </c>
      <c r="AF58" s="107" t="s">
        <v>44</v>
      </c>
      <c r="AG58" s="107"/>
      <c r="AH58" s="104" t="s">
        <v>40</v>
      </c>
      <c r="AI58" s="104" t="s">
        <v>41</v>
      </c>
      <c r="AJ58" s="108"/>
      <c r="AK58" s="109"/>
      <c r="AM58" s="262" t="str">
        <f>informatieblad!$A$2</f>
        <v>FL20 loose</v>
      </c>
      <c r="AN58" s="263"/>
      <c r="AO58" s="263"/>
      <c r="AP58" s="262" t="str">
        <f>informatieblad!$A$3</f>
        <v>FL30 loose</v>
      </c>
      <c r="AQ58" s="263"/>
      <c r="AR58" s="105"/>
      <c r="AS58" s="263" t="str">
        <f>informatieblad!$A$4</f>
        <v>FL40 loose</v>
      </c>
      <c r="AT58" s="263"/>
      <c r="AU58" s="105"/>
      <c r="AV58" s="265"/>
      <c r="AW58" s="106"/>
      <c r="AX58" s="105"/>
      <c r="AY58" s="83"/>
      <c r="AZ58" s="267"/>
      <c r="BA58" s="83"/>
      <c r="BB58" s="267"/>
      <c r="BC58" s="83"/>
      <c r="BD58" s="265" t="s">
        <v>47</v>
      </c>
      <c r="BE58" s="106" t="s">
        <v>48</v>
      </c>
      <c r="BF58" s="106" t="s">
        <v>48</v>
      </c>
      <c r="BG58" s="290" t="s">
        <v>23</v>
      </c>
      <c r="BH58" s="83" t="s">
        <v>23</v>
      </c>
      <c r="BI58" s="83" t="s">
        <v>23</v>
      </c>
      <c r="BJ58" s="290" t="s">
        <v>23</v>
      </c>
      <c r="BK58" s="83" t="s">
        <v>23</v>
      </c>
      <c r="BL58" s="273" t="s">
        <v>23</v>
      </c>
    </row>
    <row r="59" spans="1:64" ht="15.75" thickBot="1">
      <c r="A59" s="447"/>
      <c r="B59" s="92" t="s">
        <v>23</v>
      </c>
      <c r="C59" s="110"/>
      <c r="D59" s="94">
        <f>C59*U59</f>
        <v>0</v>
      </c>
      <c r="E59" s="141" t="s">
        <v>24</v>
      </c>
      <c r="F59" s="200"/>
      <c r="G59" s="457" t="s">
        <v>25</v>
      </c>
      <c r="H59" s="491"/>
      <c r="I59" s="492"/>
      <c r="J59" s="176"/>
      <c r="S59" s="111"/>
      <c r="T59" s="112">
        <f>(((2*(B57+E57))*(D57+G57+H57+F57))+((2*(D57+E57))*(C57+I57+F57)))/1000000</f>
        <v>0</v>
      </c>
      <c r="U59" s="112">
        <f>((IF(T59&lt;=informatieblad!$I$16,informatieblad!$I$16,IF(T59&gt;=informatieblad!$I$16,T59))))</f>
        <v>0.5</v>
      </c>
      <c r="V59" s="112">
        <f>(((2*(B57+E57))*(D57+G57+H57+F57))+((2*(D57+E57))*(C57+I57+F57)))/1000000</f>
        <v>0</v>
      </c>
      <c r="W59" s="112">
        <f>((IF(V59&lt;=informatieblad!$H$16,informatieblad!$H$16,IF(V59&gt;=informatieblad!$H$16,V59))))</f>
        <v>0</v>
      </c>
      <c r="X59" s="113">
        <f>((W59*AH59)+(W59*AA59))*C59</f>
        <v>0</v>
      </c>
      <c r="Y59" s="114">
        <f>((U59*AI59)+(U59*AB59))*C59</f>
        <v>0</v>
      </c>
      <c r="Z59" s="115" t="str">
        <f>G59</f>
        <v>Options None</v>
      </c>
      <c r="AA59" s="115">
        <f>VLOOKUP(G59,informatieblad!$A$37:$D$41,2,FALSE)</f>
        <v>0</v>
      </c>
      <c r="AB59" s="115">
        <f>VLOOKUP(G59,informatieblad!$A$37:$D$41,4,FALSE)</f>
        <v>0</v>
      </c>
      <c r="AC59" s="180">
        <f>(MAX(J57,K57))</f>
        <v>0</v>
      </c>
      <c r="AD59" s="119">
        <f>(MAX(L57,M57))</f>
        <v>0</v>
      </c>
      <c r="AE59" s="119">
        <f>(MAX(J57,L57))</f>
        <v>0</v>
      </c>
      <c r="AF59" s="119">
        <f>(MAX(B57:E57))</f>
        <v>0</v>
      </c>
      <c r="AG59" s="119">
        <f>LOOKUP(AF59,informatieblad!$C$27:$C$32,informatieblad!$A$27:$A$32)</f>
        <v>0.5</v>
      </c>
      <c r="AH59" s="118">
        <f>VLOOKUP(AG59,informatieblad!$A$27:$M$32,6,FALSE)</f>
        <v>0</v>
      </c>
      <c r="AI59" s="118">
        <f>VLOOKUP(AG59,informatieblad!$A$27:$M$32,8,FALSE)</f>
        <v>45.1248</v>
      </c>
      <c r="AJ59" s="120">
        <f>VLOOKUP(AG59,informatieblad!$A$27:$M$32,13,FALSE)</f>
        <v>4</v>
      </c>
      <c r="AK59" s="121">
        <f>ROUND((AJ59*V59),1)</f>
        <v>0</v>
      </c>
      <c r="AM59" s="111">
        <f>(IF(B58=AM57,((2*B57)+(2*E57)),IF(B58=AM58,((2*B57)+(2*E57)),0)))*C59</f>
        <v>0</v>
      </c>
      <c r="AN59" s="261">
        <f>(IF(C58=AM57,((2*C57)+(2*E57)),IF(C58=AM58,((2*C57)+(2*E57)),0)))*C59</f>
        <v>0</v>
      </c>
      <c r="AO59" s="261">
        <f>(IF(D58=AM57,((2*D57)+(2*E57)),IF(D58=AM58,((2*D57)+(2*E57)),0)))*C59</f>
        <v>0</v>
      </c>
      <c r="AP59" s="111">
        <f>(IF(B58=AP57,((2*B57)+(2*E57)),IF(B58=AP58,((2*B57)+(2*E57)),0)))*C59</f>
        <v>0</v>
      </c>
      <c r="AQ59" s="261">
        <f>(IF(C58=AP57,((2*C57)+(2*E57)),IF(C58=AP58,((2*C57)+(2*E57)),0)))*C59</f>
        <v>0</v>
      </c>
      <c r="AR59" s="260">
        <f>(IF(D58=AP57,((2*D57)+(2*E57)),IF(D58=AP58,((2*D57)+(2*E57)),0)))*C59</f>
        <v>0</v>
      </c>
      <c r="AS59" s="261">
        <f>(IF(B58=AS57,((2*B57)+(2*E57)),IF(B58=AS58,((2*B57)+(2*E57)),0)))*C59</f>
        <v>0</v>
      </c>
      <c r="AT59" s="261">
        <f>(IF(C58=AS57,((2*C57)+(2*E57)),IF(C58=AS58,((2*C57)+(2*E57)),0)))*C59</f>
        <v>0</v>
      </c>
      <c r="AU59" s="260">
        <f>(IF(D58=AS57,((2*D57)+(2*E57)),IF(D58=AS58,((2*D57)+(2*E57)),0)))*C59</f>
        <v>0</v>
      </c>
      <c r="AV59" s="111">
        <f>(IF(B58=AV57,((2*B57)+(2*E57)),0))*C59</f>
        <v>0</v>
      </c>
      <c r="AW59" s="261">
        <f>(IF(C58=AV57,((2*C57)+(2*E57)),0))*C59</f>
        <v>0</v>
      </c>
      <c r="AX59" s="260">
        <f>(IF(D58=AV57,((2*D57)+(2*E57)),0))*C59</f>
        <v>0</v>
      </c>
      <c r="AY59" s="83"/>
      <c r="AZ59" s="268">
        <f>(D57+H45+H45+G57+I57)*C59</f>
        <v>0</v>
      </c>
      <c r="BA59" s="83"/>
      <c r="BB59" s="268">
        <f>(AE59+100)*C59</f>
        <v>0</v>
      </c>
      <c r="BC59" s="83"/>
      <c r="BD59" s="111" t="str">
        <f>IF(B58=informatieblad!$A$6,informatieblad!$B$6,IF(B58=informatieblad!$A$7,informatieblad!$B$7,IF(B58=informatieblad!$A$8,informatieblad!$B$8,IF(B58=informatieblad!$A$2,informatieblad!$B$2,IF(B58=informatieblad!$A$3,informatieblad!$B$3,IF(B58=informatieblad!$A$4,informatieblad!$B$4,IF(B58=informatieblad!$A$5,informatieblad!$B$5,"")))))))</f>
        <v/>
      </c>
      <c r="BE59" s="275" t="str">
        <f>IF(C58=informatieblad!$A$6,informatieblad!$B$6,IF(C58=informatieblad!$A$7,informatieblad!$B$7,IF(C58=informatieblad!$A$8,informatieblad!$B$8,IF(C58=informatieblad!$A$2,informatieblad!$B$2,IF(C58=informatieblad!$A$3,informatieblad!$B$3,IF(C58=informatieblad!$A$4,informatieblad!$B$4,IF(C58=informatieblad!$A$5,informatieblad!$B$5,"")))))))</f>
        <v/>
      </c>
      <c r="BF59" s="276" t="str">
        <f>IF(D58=informatieblad!$A$6,informatieblad!$B$6,IF(D58=informatieblad!$A$7,informatieblad!$B$7,IF(D58=informatieblad!$A$8,informatieblad!$B$8,IF(D58=informatieblad!$A$2,informatieblad!$B$2,IF(D58=informatieblad!$A$3,informatieblad!$B$3,IF(D58=informatieblad!$A$4,informatieblad!$B$4,IF(D58=informatieblad!$A$5,informatieblad!$B$5,"")))))))</f>
        <v/>
      </c>
      <c r="BG59" s="276">
        <f>IF(BD59=BG57,(4*C59),0)</f>
        <v>0</v>
      </c>
      <c r="BH59" s="276">
        <f>IF(BE59=BG57,(4*C59),0)</f>
        <v>0</v>
      </c>
      <c r="BI59" s="276">
        <f>IF(BF59=BG57,(4*C59),0)</f>
        <v>0</v>
      </c>
      <c r="BJ59" s="275">
        <f>IF(BD59=BJ57,(4*C59),0)</f>
        <v>0</v>
      </c>
      <c r="BK59" s="276">
        <f>IF(BE59=BJ57,(4*C59),0)</f>
        <v>0</v>
      </c>
      <c r="BL59" s="274">
        <f>IF(BF59=BJ57,(4*C59),0)</f>
        <v>0</v>
      </c>
    </row>
    <row r="60" spans="1:64" ht="5.0999999999999996" customHeight="1" thickBot="1">
      <c r="A60" s="145"/>
      <c r="B60" s="122"/>
      <c r="C60" s="122"/>
      <c r="D60" s="122"/>
      <c r="E60" s="122"/>
      <c r="F60" s="122"/>
      <c r="G60" s="122"/>
      <c r="H60" s="122"/>
      <c r="I60" s="146"/>
    </row>
    <row r="61" spans="1:64" ht="15" thickBot="1">
      <c r="A61" s="445"/>
      <c r="B61" s="96"/>
      <c r="C61" s="300">
        <f>B61</f>
        <v>0</v>
      </c>
      <c r="D61" s="96"/>
      <c r="E61" s="96"/>
      <c r="F61" s="300">
        <f>(B61&gt;0)*$H$9</f>
        <v>0</v>
      </c>
      <c r="G61" s="300">
        <f>(C61&gt;0)*$H$10</f>
        <v>0</v>
      </c>
      <c r="H61" s="300">
        <f>(D61&gt;0)*$H$11</f>
        <v>0</v>
      </c>
      <c r="I61" s="302">
        <f>(E61&gt;0)*$H$12</f>
        <v>0</v>
      </c>
      <c r="J61" s="345" t="s">
        <v>20</v>
      </c>
      <c r="S61" s="97" t="s">
        <v>14</v>
      </c>
      <c r="T61" s="98" t="s">
        <v>27</v>
      </c>
      <c r="U61" s="98" t="s">
        <v>28</v>
      </c>
      <c r="V61" s="98" t="s">
        <v>27</v>
      </c>
      <c r="W61" s="98" t="s">
        <v>28</v>
      </c>
      <c r="X61" s="98" t="s">
        <v>29</v>
      </c>
      <c r="Y61" s="66" t="s">
        <v>30</v>
      </c>
      <c r="Z61" s="153" t="s">
        <v>31</v>
      </c>
      <c r="AA61" s="153"/>
      <c r="AB61" s="153"/>
      <c r="AC61" s="154" t="s">
        <v>83</v>
      </c>
      <c r="AD61" s="100" t="s">
        <v>83</v>
      </c>
      <c r="AE61" s="100" t="s">
        <v>83</v>
      </c>
      <c r="AF61" s="100" t="s">
        <v>33</v>
      </c>
      <c r="AG61" s="100" t="s">
        <v>34</v>
      </c>
      <c r="AH61" s="98" t="s">
        <v>32</v>
      </c>
      <c r="AI61" s="98" t="s">
        <v>32</v>
      </c>
      <c r="AJ61" s="98" t="s">
        <v>49</v>
      </c>
      <c r="AK61" s="101" t="s">
        <v>36</v>
      </c>
      <c r="AM61" s="97" t="str">
        <f>informatieblad!$A$6</f>
        <v>FL20</v>
      </c>
      <c r="AN61" s="99"/>
      <c r="AO61" s="99"/>
      <c r="AP61" s="97" t="str">
        <f>informatieblad!$A$7</f>
        <v>FL30</v>
      </c>
      <c r="AQ61" s="99"/>
      <c r="AR61" s="66"/>
      <c r="AS61" s="99" t="str">
        <f>informatieblad!$A$8</f>
        <v>FL40</v>
      </c>
      <c r="AT61" s="99"/>
      <c r="AU61" s="66"/>
      <c r="AV61" s="97" t="str">
        <f>informatieblad!$A$5</f>
        <v>none</v>
      </c>
      <c r="AW61" s="99"/>
      <c r="AX61" s="264"/>
      <c r="AY61" s="83"/>
      <c r="AZ61" s="266" t="s">
        <v>17</v>
      </c>
      <c r="BA61" s="131"/>
      <c r="BB61" s="266" t="s">
        <v>37</v>
      </c>
      <c r="BC61" s="131"/>
      <c r="BD61" s="269" t="s">
        <v>38</v>
      </c>
      <c r="BE61" s="272"/>
      <c r="BF61" s="272"/>
      <c r="BG61" s="289">
        <f>informatieblad!$B$3</f>
        <v>0</v>
      </c>
      <c r="BH61" s="272"/>
      <c r="BI61" s="272"/>
      <c r="BJ61" s="289">
        <f>informatieblad!$B$4</f>
        <v>0</v>
      </c>
      <c r="BK61" s="272"/>
      <c r="BL61" s="264"/>
    </row>
    <row r="62" spans="1:64">
      <c r="A62" s="446"/>
      <c r="B62" s="202" t="str">
        <f>IF($C63&gt;0,IF(MAX(B61,E61)&lt;informatieblad!$Q$4,informatieblad!$P$3,IF(MAX(B61,E61)&gt;informatieblad!$R$4,informatieblad!$P$5,informatieblad!$P$4)),"")</f>
        <v/>
      </c>
      <c r="C62" s="202" t="str">
        <f>IF($C63&gt;0,IF(MAX(C61,E61)&lt;informatieblad!$Q$4,informatieblad!$P$3,IF(MAX(C61,E61)&gt;informatieblad!$R$4,informatieblad!$P$5,informatieblad!$P$4)),"")</f>
        <v/>
      </c>
      <c r="D62" s="203" t="str">
        <f>IF($C63&gt;0,IF(MAX(D61,E61)&lt;informatieblad!$Q$4,informatieblad!$P$3,IF(MAX(D61,E61)&gt;informatieblad!$R$4,informatieblad!$P$5,informatieblad!$P$4)),"")</f>
        <v/>
      </c>
      <c r="E62" s="190" t="str">
        <f>A61&amp;"-"&amp;informatieblad!$B$16&amp;"-"&amp;B61&amp;"-"&amp;C61&amp;"-"&amp;D61&amp;"-"&amp;E61&amp;"-"&amp;F61&amp;"-"&amp;G61&amp;"-"&amp;H61&amp;"-"&amp;I61&amp;"-"&amp;B62&amp;"-"&amp;C62&amp;"-"&amp;D62&amp;"-"&amp;G63</f>
        <v>-RctT--0---0-0-0-0----Options None</v>
      </c>
      <c r="F62" s="174"/>
      <c r="G62" s="174"/>
      <c r="H62" s="174"/>
      <c r="I62" s="199"/>
      <c r="J62" s="83"/>
      <c r="S62" s="103">
        <f>A61</f>
        <v>0</v>
      </c>
      <c r="T62" s="104" t="s">
        <v>39</v>
      </c>
      <c r="U62" s="104" t="s">
        <v>39</v>
      </c>
      <c r="V62" s="104" t="s">
        <v>40</v>
      </c>
      <c r="W62" s="104" t="s">
        <v>40</v>
      </c>
      <c r="X62" s="104" t="s">
        <v>40</v>
      </c>
      <c r="Y62" s="105"/>
      <c r="Z62" s="155" t="s">
        <v>27</v>
      </c>
      <c r="AA62" s="155" t="s">
        <v>40</v>
      </c>
      <c r="AB62" s="155" t="s">
        <v>41</v>
      </c>
      <c r="AC62" s="156" t="s">
        <v>107</v>
      </c>
      <c r="AD62" s="104" t="s">
        <v>108</v>
      </c>
      <c r="AE62" s="107" t="s">
        <v>91</v>
      </c>
      <c r="AF62" s="107" t="s">
        <v>44</v>
      </c>
      <c r="AG62" s="107"/>
      <c r="AH62" s="104" t="s">
        <v>40</v>
      </c>
      <c r="AI62" s="104" t="s">
        <v>41</v>
      </c>
      <c r="AJ62" s="108"/>
      <c r="AK62" s="109"/>
      <c r="AM62" s="262" t="str">
        <f>informatieblad!$A$2</f>
        <v>FL20 loose</v>
      </c>
      <c r="AN62" s="263"/>
      <c r="AO62" s="263"/>
      <c r="AP62" s="262" t="str">
        <f>informatieblad!$A$3</f>
        <v>FL30 loose</v>
      </c>
      <c r="AQ62" s="263"/>
      <c r="AR62" s="105"/>
      <c r="AS62" s="263" t="str">
        <f>informatieblad!$A$4</f>
        <v>FL40 loose</v>
      </c>
      <c r="AT62" s="263"/>
      <c r="AU62" s="105"/>
      <c r="AV62" s="265"/>
      <c r="AW62" s="106"/>
      <c r="AX62" s="105"/>
      <c r="AY62" s="83"/>
      <c r="AZ62" s="267"/>
      <c r="BA62" s="83"/>
      <c r="BB62" s="267"/>
      <c r="BC62" s="83"/>
      <c r="BD62" s="265" t="s">
        <v>47</v>
      </c>
      <c r="BE62" s="106" t="s">
        <v>48</v>
      </c>
      <c r="BF62" s="106" t="s">
        <v>48</v>
      </c>
      <c r="BG62" s="290" t="s">
        <v>23</v>
      </c>
      <c r="BH62" s="83" t="s">
        <v>23</v>
      </c>
      <c r="BI62" s="83" t="s">
        <v>23</v>
      </c>
      <c r="BJ62" s="290" t="s">
        <v>23</v>
      </c>
      <c r="BK62" s="83" t="s">
        <v>23</v>
      </c>
      <c r="BL62" s="273" t="s">
        <v>23</v>
      </c>
    </row>
    <row r="63" spans="1:64" ht="15.75" thickBot="1">
      <c r="A63" s="447"/>
      <c r="B63" s="92" t="s">
        <v>23</v>
      </c>
      <c r="C63" s="110"/>
      <c r="D63" s="94">
        <f>C63*U63</f>
        <v>0</v>
      </c>
      <c r="E63" s="141" t="s">
        <v>24</v>
      </c>
      <c r="F63" s="200"/>
      <c r="G63" s="457" t="s">
        <v>25</v>
      </c>
      <c r="H63" s="491"/>
      <c r="I63" s="492"/>
      <c r="J63" s="176"/>
      <c r="S63" s="111"/>
      <c r="T63" s="112">
        <f>(((2*(B61+E61))*(D61+G61+H61+F61))+((2*(D61+E61))*(C61+I61+F61)))/1000000</f>
        <v>0</v>
      </c>
      <c r="U63" s="112">
        <f>((IF(T63&lt;=informatieblad!$I$16,informatieblad!$I$16,IF(T63&gt;=informatieblad!$I$16,T63))))</f>
        <v>0.5</v>
      </c>
      <c r="V63" s="112">
        <f>(((2*(B61+E61))*(D61+G61+H61+F61))+((2*(D61+E61))*(C61+I61+F61)))/1000000</f>
        <v>0</v>
      </c>
      <c r="W63" s="112">
        <f>((IF(V63&lt;=informatieblad!$H$16,informatieblad!$H$16,IF(V63&gt;=informatieblad!$H$16,V63))))</f>
        <v>0</v>
      </c>
      <c r="X63" s="113">
        <f>((W63*AH63)+(W63*AA63))*C63</f>
        <v>0</v>
      </c>
      <c r="Y63" s="114">
        <f>((U63*AI63)+(U63*AB63))*C63</f>
        <v>0</v>
      </c>
      <c r="Z63" s="115" t="str">
        <f>G63</f>
        <v>Options None</v>
      </c>
      <c r="AA63" s="115">
        <f>VLOOKUP(G63,informatieblad!$A$37:$D$41,2,FALSE)</f>
        <v>0</v>
      </c>
      <c r="AB63" s="115">
        <f>VLOOKUP(G63,informatieblad!$A$37:$D$41,4,FALSE)</f>
        <v>0</v>
      </c>
      <c r="AC63" s="180">
        <f>(MAX(J61,K61))</f>
        <v>0</v>
      </c>
      <c r="AD63" s="119">
        <f>(MAX(L61,M61))</f>
        <v>0</v>
      </c>
      <c r="AE63" s="119">
        <f>(MAX(J61,L61))</f>
        <v>0</v>
      </c>
      <c r="AF63" s="119">
        <f>(MAX(B61:E61))</f>
        <v>0</v>
      </c>
      <c r="AG63" s="119">
        <f>LOOKUP(AF63,informatieblad!$C$27:$C$32,informatieblad!$A$27:$A$32)</f>
        <v>0.5</v>
      </c>
      <c r="AH63" s="118">
        <f>VLOOKUP(AG63,informatieblad!$A$27:$M$32,6,FALSE)</f>
        <v>0</v>
      </c>
      <c r="AI63" s="118">
        <f>VLOOKUP(AG63,informatieblad!$A$27:$M$32,8,FALSE)</f>
        <v>45.1248</v>
      </c>
      <c r="AJ63" s="120">
        <f>VLOOKUP(AG63,informatieblad!$A$27:$M$32,13,FALSE)</f>
        <v>4</v>
      </c>
      <c r="AK63" s="121">
        <f>ROUND((AJ63*V63),1)</f>
        <v>0</v>
      </c>
      <c r="AM63" s="111">
        <f>(IF(B62=AM61,((2*B61)+(2*E61)),IF(B62=AM62,((2*B61)+(2*E61)),0)))*C63</f>
        <v>0</v>
      </c>
      <c r="AN63" s="261">
        <f>(IF(C62=AM61,((2*C61)+(2*E61)),IF(C62=AM62,((2*C61)+(2*E61)),0)))*C63</f>
        <v>0</v>
      </c>
      <c r="AO63" s="261">
        <f>(IF(D62=AM61,((2*D61)+(2*E61)),IF(D62=AM62,((2*D61)+(2*E61)),0)))*C63</f>
        <v>0</v>
      </c>
      <c r="AP63" s="111">
        <f>(IF(B62=AP61,((2*B61)+(2*E61)),IF(B62=AP62,((2*B61)+(2*E61)),0)))*C63</f>
        <v>0</v>
      </c>
      <c r="AQ63" s="261">
        <f>(IF(C62=AP61,((2*C61)+(2*E61)),IF(C62=AP62,((2*C61)+(2*E61)),0)))*C63</f>
        <v>0</v>
      </c>
      <c r="AR63" s="260">
        <f>(IF(D62=AP61,((2*D61)+(2*E61)),IF(D62=AP62,((2*D61)+(2*E61)),0)))*C63</f>
        <v>0</v>
      </c>
      <c r="AS63" s="261">
        <f>(IF(B62=AS61,((2*B61)+(2*E61)),IF(B62=AS62,((2*B61)+(2*E61)),0)))*C63</f>
        <v>0</v>
      </c>
      <c r="AT63" s="261">
        <f>(IF(C62=AS61,((2*C61)+(2*E61)),IF(C62=AS62,((2*C61)+(2*E61)),0)))*C63</f>
        <v>0</v>
      </c>
      <c r="AU63" s="260">
        <f>(IF(D62=AS61,((2*D61)+(2*E61)),IF(D62=AS62,((2*D61)+(2*E61)),0)))*C63</f>
        <v>0</v>
      </c>
      <c r="AV63" s="111">
        <f>(IF(B62=AV61,((2*B61)+(2*E61)),0))*C63</f>
        <v>0</v>
      </c>
      <c r="AW63" s="261">
        <f>(IF(C62=AV61,((2*C61)+(2*E61)),0))*C63</f>
        <v>0</v>
      </c>
      <c r="AX63" s="260">
        <f>(IF(D62=AV61,((2*D61)+(2*E61)),0))*C63</f>
        <v>0</v>
      </c>
      <c r="AY63" s="83"/>
      <c r="AZ63" s="268">
        <f>(D61+H49+H49+G61+I61)*C63</f>
        <v>0</v>
      </c>
      <c r="BA63" s="83"/>
      <c r="BB63" s="268">
        <f>(AE63+100)*C63</f>
        <v>0</v>
      </c>
      <c r="BC63" s="83"/>
      <c r="BD63" s="111" t="str">
        <f>IF(B62=informatieblad!$A$6,informatieblad!$B$6,IF(B62=informatieblad!$A$7,informatieblad!$B$7,IF(B62=informatieblad!$A$8,informatieblad!$B$8,IF(B62=informatieblad!$A$2,informatieblad!$B$2,IF(B62=informatieblad!$A$3,informatieblad!$B$3,IF(B62=informatieblad!$A$4,informatieblad!$B$4,IF(B62=informatieblad!$A$5,informatieblad!$B$5,"")))))))</f>
        <v/>
      </c>
      <c r="BE63" s="275" t="str">
        <f>IF(C62=informatieblad!$A$6,informatieblad!$B$6,IF(C62=informatieblad!$A$7,informatieblad!$B$7,IF(C62=informatieblad!$A$8,informatieblad!$B$8,IF(C62=informatieblad!$A$2,informatieblad!$B$2,IF(C62=informatieblad!$A$3,informatieblad!$B$3,IF(C62=informatieblad!$A$4,informatieblad!$B$4,IF(C62=informatieblad!$A$5,informatieblad!$B$5,"")))))))</f>
        <v/>
      </c>
      <c r="BF63" s="276" t="str">
        <f>IF(D62=informatieblad!$A$6,informatieblad!$B$6,IF(D62=informatieblad!$A$7,informatieblad!$B$7,IF(D62=informatieblad!$A$8,informatieblad!$B$8,IF(D62=informatieblad!$A$2,informatieblad!$B$2,IF(D62=informatieblad!$A$3,informatieblad!$B$3,IF(D62=informatieblad!$A$4,informatieblad!$B$4,IF(D62=informatieblad!$A$5,informatieblad!$B$5,"")))))))</f>
        <v/>
      </c>
      <c r="BG63" s="276">
        <f>IF(BD63=BG61,(4*C63),0)</f>
        <v>0</v>
      </c>
      <c r="BH63" s="276">
        <f>IF(BE63=BG61,(4*C63),0)</f>
        <v>0</v>
      </c>
      <c r="BI63" s="276">
        <f>IF(BF63=BG61,(4*C63),0)</f>
        <v>0</v>
      </c>
      <c r="BJ63" s="275">
        <f>IF(BD63=BJ61,(4*C63),0)</f>
        <v>0</v>
      </c>
      <c r="BK63" s="276">
        <f>IF(BE63=BJ61,(4*C63),0)</f>
        <v>0</v>
      </c>
      <c r="BL63" s="274">
        <f>IF(BF63=BJ61,(4*C63),0)</f>
        <v>0</v>
      </c>
    </row>
    <row r="64" spans="1:64" ht="5.0999999999999996" customHeight="1" thickBot="1">
      <c r="A64" s="145"/>
      <c r="B64" s="122"/>
      <c r="C64" s="122"/>
      <c r="D64" s="122"/>
      <c r="E64" s="122"/>
      <c r="F64" s="122"/>
      <c r="G64" s="122"/>
      <c r="H64" s="122"/>
      <c r="I64" s="146"/>
    </row>
    <row r="65" spans="1:64" ht="15" thickBot="1">
      <c r="A65" s="445"/>
      <c r="B65" s="96"/>
      <c r="C65" s="300">
        <f>B65</f>
        <v>0</v>
      </c>
      <c r="D65" s="96"/>
      <c r="E65" s="96"/>
      <c r="F65" s="300">
        <f>(B65&gt;0)*$H$9</f>
        <v>0</v>
      </c>
      <c r="G65" s="300">
        <f>(C65&gt;0)*$H$10</f>
        <v>0</v>
      </c>
      <c r="H65" s="300">
        <f>(D65&gt;0)*$H$11</f>
        <v>0</v>
      </c>
      <c r="I65" s="302">
        <f>(E65&gt;0)*$H$12</f>
        <v>0</v>
      </c>
      <c r="J65" s="345" t="s">
        <v>20</v>
      </c>
      <c r="S65" s="97" t="s">
        <v>14</v>
      </c>
      <c r="T65" s="98" t="s">
        <v>27</v>
      </c>
      <c r="U65" s="98" t="s">
        <v>28</v>
      </c>
      <c r="V65" s="98" t="s">
        <v>27</v>
      </c>
      <c r="W65" s="98" t="s">
        <v>28</v>
      </c>
      <c r="X65" s="98" t="s">
        <v>29</v>
      </c>
      <c r="Y65" s="66" t="s">
        <v>30</v>
      </c>
      <c r="Z65" s="153" t="s">
        <v>31</v>
      </c>
      <c r="AA65" s="153"/>
      <c r="AB65" s="153"/>
      <c r="AC65" s="154" t="s">
        <v>83</v>
      </c>
      <c r="AD65" s="100" t="s">
        <v>83</v>
      </c>
      <c r="AE65" s="100" t="s">
        <v>83</v>
      </c>
      <c r="AF65" s="100" t="s">
        <v>33</v>
      </c>
      <c r="AG65" s="100" t="s">
        <v>34</v>
      </c>
      <c r="AH65" s="98" t="s">
        <v>32</v>
      </c>
      <c r="AI65" s="98" t="s">
        <v>32</v>
      </c>
      <c r="AJ65" s="98" t="s">
        <v>49</v>
      </c>
      <c r="AK65" s="101" t="s">
        <v>36</v>
      </c>
      <c r="AM65" s="97" t="str">
        <f>informatieblad!$A$6</f>
        <v>FL20</v>
      </c>
      <c r="AN65" s="99"/>
      <c r="AO65" s="99"/>
      <c r="AP65" s="97" t="str">
        <f>informatieblad!$A$7</f>
        <v>FL30</v>
      </c>
      <c r="AQ65" s="99"/>
      <c r="AR65" s="66"/>
      <c r="AS65" s="99" t="str">
        <f>informatieblad!$A$8</f>
        <v>FL40</v>
      </c>
      <c r="AT65" s="99"/>
      <c r="AU65" s="66"/>
      <c r="AV65" s="97" t="str">
        <f>informatieblad!$A$5</f>
        <v>none</v>
      </c>
      <c r="AW65" s="99"/>
      <c r="AX65" s="264"/>
      <c r="AY65" s="83"/>
      <c r="AZ65" s="266" t="s">
        <v>17</v>
      </c>
      <c r="BA65" s="131"/>
      <c r="BB65" s="266" t="s">
        <v>37</v>
      </c>
      <c r="BC65" s="131"/>
      <c r="BD65" s="269" t="s">
        <v>38</v>
      </c>
      <c r="BE65" s="272"/>
      <c r="BF65" s="272"/>
      <c r="BG65" s="289">
        <f>informatieblad!$B$3</f>
        <v>0</v>
      </c>
      <c r="BH65" s="272"/>
      <c r="BI65" s="272"/>
      <c r="BJ65" s="289">
        <f>informatieblad!$B$4</f>
        <v>0</v>
      </c>
      <c r="BK65" s="272"/>
      <c r="BL65" s="264"/>
    </row>
    <row r="66" spans="1:64">
      <c r="A66" s="446"/>
      <c r="B66" s="202" t="str">
        <f>IF($C67&gt;0,IF(MAX(B65,E65)&lt;informatieblad!$Q$4,informatieblad!$P$3,IF(MAX(B65,E65)&gt;informatieblad!$R$4,informatieblad!$P$5,informatieblad!$P$4)),"")</f>
        <v/>
      </c>
      <c r="C66" s="202" t="str">
        <f>IF($C67&gt;0,IF(MAX(C65,E65)&lt;informatieblad!$Q$4,informatieblad!$P$3,IF(MAX(C65,E65)&gt;informatieblad!$R$4,informatieblad!$P$5,informatieblad!$P$4)),"")</f>
        <v/>
      </c>
      <c r="D66" s="203" t="str">
        <f>IF($C67&gt;0,IF(MAX(D65,E65)&lt;informatieblad!$Q$4,informatieblad!$P$3,IF(MAX(D65,E65)&gt;informatieblad!$R$4,informatieblad!$P$5,informatieblad!$P$4)),"")</f>
        <v/>
      </c>
      <c r="E66" s="190" t="str">
        <f>A65&amp;"-"&amp;informatieblad!$B$16&amp;"-"&amp;B65&amp;"-"&amp;C65&amp;"-"&amp;D65&amp;"-"&amp;E65&amp;"-"&amp;F65&amp;"-"&amp;G65&amp;"-"&amp;H65&amp;"-"&amp;I65&amp;"-"&amp;B66&amp;"-"&amp;C66&amp;"-"&amp;D66&amp;"-"&amp;G67</f>
        <v>-RctT--0---0-0-0-0----Options None</v>
      </c>
      <c r="F66" s="174"/>
      <c r="G66" s="174"/>
      <c r="H66" s="174"/>
      <c r="I66" s="199"/>
      <c r="J66" s="83"/>
      <c r="S66" s="103">
        <f>A65</f>
        <v>0</v>
      </c>
      <c r="T66" s="104" t="s">
        <v>39</v>
      </c>
      <c r="U66" s="104" t="s">
        <v>39</v>
      </c>
      <c r="V66" s="104" t="s">
        <v>40</v>
      </c>
      <c r="W66" s="104" t="s">
        <v>40</v>
      </c>
      <c r="X66" s="104" t="s">
        <v>40</v>
      </c>
      <c r="Y66" s="105"/>
      <c r="Z66" s="155" t="s">
        <v>27</v>
      </c>
      <c r="AA66" s="155" t="s">
        <v>40</v>
      </c>
      <c r="AB66" s="155" t="s">
        <v>41</v>
      </c>
      <c r="AC66" s="156" t="s">
        <v>107</v>
      </c>
      <c r="AD66" s="104" t="s">
        <v>108</v>
      </c>
      <c r="AE66" s="107" t="s">
        <v>91</v>
      </c>
      <c r="AF66" s="107" t="s">
        <v>44</v>
      </c>
      <c r="AG66" s="107"/>
      <c r="AH66" s="104" t="s">
        <v>40</v>
      </c>
      <c r="AI66" s="104" t="s">
        <v>41</v>
      </c>
      <c r="AJ66" s="108"/>
      <c r="AK66" s="109"/>
      <c r="AM66" s="262" t="str">
        <f>informatieblad!$A$2</f>
        <v>FL20 loose</v>
      </c>
      <c r="AN66" s="263"/>
      <c r="AO66" s="263"/>
      <c r="AP66" s="262" t="str">
        <f>informatieblad!$A$3</f>
        <v>FL30 loose</v>
      </c>
      <c r="AQ66" s="263"/>
      <c r="AR66" s="105"/>
      <c r="AS66" s="263" t="str">
        <f>informatieblad!$A$4</f>
        <v>FL40 loose</v>
      </c>
      <c r="AT66" s="263"/>
      <c r="AU66" s="105"/>
      <c r="AV66" s="265"/>
      <c r="AW66" s="106"/>
      <c r="AX66" s="105"/>
      <c r="AY66" s="83"/>
      <c r="AZ66" s="267"/>
      <c r="BA66" s="83"/>
      <c r="BB66" s="267"/>
      <c r="BC66" s="83"/>
      <c r="BD66" s="265" t="s">
        <v>47</v>
      </c>
      <c r="BE66" s="106" t="s">
        <v>48</v>
      </c>
      <c r="BF66" s="106" t="s">
        <v>48</v>
      </c>
      <c r="BG66" s="290" t="s">
        <v>23</v>
      </c>
      <c r="BH66" s="83" t="s">
        <v>23</v>
      </c>
      <c r="BI66" s="83" t="s">
        <v>23</v>
      </c>
      <c r="BJ66" s="290" t="s">
        <v>23</v>
      </c>
      <c r="BK66" s="83" t="s">
        <v>23</v>
      </c>
      <c r="BL66" s="273" t="s">
        <v>23</v>
      </c>
    </row>
    <row r="67" spans="1:64" ht="15.75" thickBot="1">
      <c r="A67" s="447"/>
      <c r="B67" s="92" t="s">
        <v>23</v>
      </c>
      <c r="C67" s="110"/>
      <c r="D67" s="94">
        <f>C67*U67</f>
        <v>0</v>
      </c>
      <c r="E67" s="141" t="s">
        <v>24</v>
      </c>
      <c r="F67" s="200"/>
      <c r="G67" s="457" t="s">
        <v>25</v>
      </c>
      <c r="H67" s="491"/>
      <c r="I67" s="492"/>
      <c r="J67" s="176"/>
      <c r="S67" s="111"/>
      <c r="T67" s="112">
        <f>(((2*(B65+E65))*(D65+G65+H65+F65))+((2*(D65+E65))*(C65+I65+F65)))/1000000</f>
        <v>0</v>
      </c>
      <c r="U67" s="112">
        <f>((IF(T67&lt;=informatieblad!$I$16,informatieblad!$I$16,IF(T67&gt;=informatieblad!$I$16,T67))))</f>
        <v>0.5</v>
      </c>
      <c r="V67" s="112">
        <f>(((2*(B65+E65))*(D65+G65+H65+F65))+((2*(D65+E65))*(C65+I65+F65)))/1000000</f>
        <v>0</v>
      </c>
      <c r="W67" s="112">
        <f>((IF(V67&lt;=informatieblad!$H$16,informatieblad!$H$16,IF(V67&gt;=informatieblad!$H$16,V67))))</f>
        <v>0</v>
      </c>
      <c r="X67" s="113">
        <f>((W67*AH67)+(W67*AA67))*C67</f>
        <v>0</v>
      </c>
      <c r="Y67" s="114">
        <f>((U67*AI67)+(U67*AB67))*C67</f>
        <v>0</v>
      </c>
      <c r="Z67" s="115" t="str">
        <f>G67</f>
        <v>Options None</v>
      </c>
      <c r="AA67" s="115">
        <f>VLOOKUP(G67,informatieblad!$A$37:$D$41,2,FALSE)</f>
        <v>0</v>
      </c>
      <c r="AB67" s="115">
        <f>VLOOKUP(G67,informatieblad!$A$37:$D$41,4,FALSE)</f>
        <v>0</v>
      </c>
      <c r="AC67" s="180">
        <f>(MAX(J65,K65))</f>
        <v>0</v>
      </c>
      <c r="AD67" s="119">
        <f>(MAX(L65,M65))</f>
        <v>0</v>
      </c>
      <c r="AE67" s="119">
        <f>(MAX(J65,L65))</f>
        <v>0</v>
      </c>
      <c r="AF67" s="119">
        <f>(MAX(B65:E65))</f>
        <v>0</v>
      </c>
      <c r="AG67" s="119">
        <f>LOOKUP(AF67,informatieblad!$C$27:$C$32,informatieblad!$A$27:$A$32)</f>
        <v>0.5</v>
      </c>
      <c r="AH67" s="118">
        <f>VLOOKUP(AG67,informatieblad!$A$27:$M$32,6,FALSE)</f>
        <v>0</v>
      </c>
      <c r="AI67" s="118">
        <f>VLOOKUP(AG67,informatieblad!$A$27:$M$32,8,FALSE)</f>
        <v>45.1248</v>
      </c>
      <c r="AJ67" s="120">
        <f>VLOOKUP(AG67,informatieblad!$A$27:$M$32,13,FALSE)</f>
        <v>4</v>
      </c>
      <c r="AK67" s="121">
        <f>ROUND((AJ67*V67),1)</f>
        <v>0</v>
      </c>
      <c r="AM67" s="111">
        <f>(IF(B66=AM65,((2*B65)+(2*E65)),IF(B66=AM66,((2*B65)+(2*E65)),0)))*C67</f>
        <v>0</v>
      </c>
      <c r="AN67" s="261">
        <f>(IF(C66=AM65,((2*C65)+(2*E65)),IF(C66=AM66,((2*C65)+(2*E65)),0)))*C67</f>
        <v>0</v>
      </c>
      <c r="AO67" s="261">
        <f>(IF(D66=AM65,((2*D65)+(2*E65)),IF(D66=AM66,((2*D65)+(2*E65)),0)))*C67</f>
        <v>0</v>
      </c>
      <c r="AP67" s="111">
        <f>(IF(B66=AP65,((2*B65)+(2*E65)),IF(B66=AP66,((2*B65)+(2*E65)),0)))*C67</f>
        <v>0</v>
      </c>
      <c r="AQ67" s="261">
        <f>(IF(C66=AP65,((2*C65)+(2*E65)),IF(C66=AP66,((2*C65)+(2*E65)),0)))*C67</f>
        <v>0</v>
      </c>
      <c r="AR67" s="260">
        <f>(IF(D66=AP65,((2*D65)+(2*E65)),IF(D66=AP66,((2*D65)+(2*E65)),0)))*C67</f>
        <v>0</v>
      </c>
      <c r="AS67" s="261">
        <f>(IF(B66=AS65,((2*B65)+(2*E65)),IF(B66=AS66,((2*B65)+(2*E65)),0)))*C67</f>
        <v>0</v>
      </c>
      <c r="AT67" s="261">
        <f>(IF(C66=AS65,((2*C65)+(2*E65)),IF(C66=AS66,((2*C65)+(2*E65)),0)))*C67</f>
        <v>0</v>
      </c>
      <c r="AU67" s="260">
        <f>(IF(D66=AS65,((2*D65)+(2*E65)),IF(D66=AS66,((2*D65)+(2*E65)),0)))*C67</f>
        <v>0</v>
      </c>
      <c r="AV67" s="111">
        <f>(IF(B66=AV65,((2*B65)+(2*E65)),0))*C67</f>
        <v>0</v>
      </c>
      <c r="AW67" s="261">
        <f>(IF(C66=AV65,((2*C65)+(2*E65)),0))*C67</f>
        <v>0</v>
      </c>
      <c r="AX67" s="260">
        <f>(IF(D66=AV65,((2*D65)+(2*E65)),0))*C67</f>
        <v>0</v>
      </c>
      <c r="AY67" s="83"/>
      <c r="AZ67" s="268">
        <f>(D65+H53+H53+G65+I65)*C67</f>
        <v>0</v>
      </c>
      <c r="BA67" s="83"/>
      <c r="BB67" s="268">
        <f>(AE67+100)*C67</f>
        <v>0</v>
      </c>
      <c r="BC67" s="83"/>
      <c r="BD67" s="111" t="str">
        <f>IF(B66=informatieblad!$A$6,informatieblad!$B$6,IF(B66=informatieblad!$A$7,informatieblad!$B$7,IF(B66=informatieblad!$A$8,informatieblad!$B$8,IF(B66=informatieblad!$A$2,informatieblad!$B$2,IF(B66=informatieblad!$A$3,informatieblad!$B$3,IF(B66=informatieblad!$A$4,informatieblad!$B$4,IF(B66=informatieblad!$A$5,informatieblad!$B$5,"")))))))</f>
        <v/>
      </c>
      <c r="BE67" s="275" t="str">
        <f>IF(C66=informatieblad!$A$6,informatieblad!$B$6,IF(C66=informatieblad!$A$7,informatieblad!$B$7,IF(C66=informatieblad!$A$8,informatieblad!$B$8,IF(C66=informatieblad!$A$2,informatieblad!$B$2,IF(C66=informatieblad!$A$3,informatieblad!$B$3,IF(C66=informatieblad!$A$4,informatieblad!$B$4,IF(C66=informatieblad!$A$5,informatieblad!$B$5,"")))))))</f>
        <v/>
      </c>
      <c r="BF67" s="276" t="str">
        <f>IF(D66=informatieblad!$A$6,informatieblad!$B$6,IF(D66=informatieblad!$A$7,informatieblad!$B$7,IF(D66=informatieblad!$A$8,informatieblad!$B$8,IF(D66=informatieblad!$A$2,informatieblad!$B$2,IF(D66=informatieblad!$A$3,informatieblad!$B$3,IF(D66=informatieblad!$A$4,informatieblad!$B$4,IF(D66=informatieblad!$A$5,informatieblad!$B$5,"")))))))</f>
        <v/>
      </c>
      <c r="BG67" s="276">
        <f>IF(BD67=BG65,(4*C67),0)</f>
        <v>0</v>
      </c>
      <c r="BH67" s="276">
        <f>IF(BE67=BG65,(4*C67),0)</f>
        <v>0</v>
      </c>
      <c r="BI67" s="276">
        <f>IF(BF67=BG65,(4*C67),0)</f>
        <v>0</v>
      </c>
      <c r="BJ67" s="275">
        <f>IF(BD67=BJ65,(4*C67),0)</f>
        <v>0</v>
      </c>
      <c r="BK67" s="276">
        <f>IF(BE67=BJ65,(4*C67),0)</f>
        <v>0</v>
      </c>
      <c r="BL67" s="274">
        <f>IF(BF67=BJ65,(4*C67),0)</f>
        <v>0</v>
      </c>
    </row>
    <row r="68" spans="1:64" ht="5.0999999999999996" customHeight="1" thickBot="1">
      <c r="A68" s="145"/>
      <c r="B68" s="122"/>
      <c r="C68" s="122"/>
      <c r="D68" s="122"/>
      <c r="E68" s="122"/>
      <c r="F68" s="122"/>
      <c r="G68" s="122"/>
      <c r="H68" s="122"/>
      <c r="I68" s="146"/>
    </row>
    <row r="69" spans="1:64" ht="15" thickBot="1">
      <c r="A69" s="445"/>
      <c r="B69" s="96"/>
      <c r="C69" s="300">
        <f>B69</f>
        <v>0</v>
      </c>
      <c r="D69" s="96"/>
      <c r="E69" s="96"/>
      <c r="F69" s="300">
        <f>(B69&gt;0)*$H$9</f>
        <v>0</v>
      </c>
      <c r="G69" s="300">
        <f>(C69&gt;0)*$H$10</f>
        <v>0</v>
      </c>
      <c r="H69" s="300">
        <f>(D69&gt;0)*$H$11</f>
        <v>0</v>
      </c>
      <c r="I69" s="302">
        <f>(E69&gt;0)*$H$12</f>
        <v>0</v>
      </c>
      <c r="J69" s="345" t="s">
        <v>20</v>
      </c>
      <c r="S69" s="97" t="s">
        <v>14</v>
      </c>
      <c r="T69" s="98" t="s">
        <v>27</v>
      </c>
      <c r="U69" s="98" t="s">
        <v>28</v>
      </c>
      <c r="V69" s="98" t="s">
        <v>27</v>
      </c>
      <c r="W69" s="98" t="s">
        <v>28</v>
      </c>
      <c r="X69" s="98" t="s">
        <v>29</v>
      </c>
      <c r="Y69" s="66" t="s">
        <v>30</v>
      </c>
      <c r="Z69" s="153" t="s">
        <v>31</v>
      </c>
      <c r="AA69" s="153"/>
      <c r="AB69" s="153"/>
      <c r="AC69" s="154" t="s">
        <v>83</v>
      </c>
      <c r="AD69" s="100" t="s">
        <v>83</v>
      </c>
      <c r="AE69" s="100" t="s">
        <v>83</v>
      </c>
      <c r="AF69" s="100" t="s">
        <v>33</v>
      </c>
      <c r="AG69" s="100" t="s">
        <v>34</v>
      </c>
      <c r="AH69" s="98" t="s">
        <v>32</v>
      </c>
      <c r="AI69" s="98" t="s">
        <v>32</v>
      </c>
      <c r="AJ69" s="98" t="s">
        <v>49</v>
      </c>
      <c r="AK69" s="101" t="s">
        <v>36</v>
      </c>
      <c r="AM69" s="97" t="str">
        <f>informatieblad!$A$6</f>
        <v>FL20</v>
      </c>
      <c r="AN69" s="99"/>
      <c r="AO69" s="99"/>
      <c r="AP69" s="97" t="str">
        <f>informatieblad!$A$7</f>
        <v>FL30</v>
      </c>
      <c r="AQ69" s="99"/>
      <c r="AR69" s="66"/>
      <c r="AS69" s="99" t="str">
        <f>informatieblad!$A$8</f>
        <v>FL40</v>
      </c>
      <c r="AT69" s="99"/>
      <c r="AU69" s="66"/>
      <c r="AV69" s="97" t="str">
        <f>informatieblad!$A$5</f>
        <v>none</v>
      </c>
      <c r="AW69" s="99"/>
      <c r="AX69" s="264"/>
      <c r="AY69" s="83"/>
      <c r="AZ69" s="266" t="s">
        <v>17</v>
      </c>
      <c r="BA69" s="131"/>
      <c r="BB69" s="266" t="s">
        <v>37</v>
      </c>
      <c r="BC69" s="131"/>
      <c r="BD69" s="269" t="s">
        <v>38</v>
      </c>
      <c r="BE69" s="272"/>
      <c r="BF69" s="272"/>
      <c r="BG69" s="289">
        <f>informatieblad!$B$3</f>
        <v>0</v>
      </c>
      <c r="BH69" s="272"/>
      <c r="BI69" s="272"/>
      <c r="BJ69" s="289">
        <f>informatieblad!$B$4</f>
        <v>0</v>
      </c>
      <c r="BK69" s="272"/>
      <c r="BL69" s="264"/>
    </row>
    <row r="70" spans="1:64">
      <c r="A70" s="446"/>
      <c r="B70" s="202" t="str">
        <f>IF($C71&gt;0,IF(MAX(B69,E69)&lt;informatieblad!$Q$4,informatieblad!$P$3,IF(MAX(B69,E69)&gt;informatieblad!$R$4,informatieblad!$P$5,informatieblad!$P$4)),"")</f>
        <v/>
      </c>
      <c r="C70" s="202" t="str">
        <f>IF($C71&gt;0,IF(MAX(C69,E69)&lt;informatieblad!$Q$4,informatieblad!$P$3,IF(MAX(C69,E69)&gt;informatieblad!$R$4,informatieblad!$P$5,informatieblad!$P$4)),"")</f>
        <v/>
      </c>
      <c r="D70" s="203" t="str">
        <f>IF($C71&gt;0,IF(MAX(D69,E69)&lt;informatieblad!$Q$4,informatieblad!$P$3,IF(MAX(D69,E69)&gt;informatieblad!$R$4,informatieblad!$P$5,informatieblad!$P$4)),"")</f>
        <v/>
      </c>
      <c r="E70" s="190" t="str">
        <f>A69&amp;"-"&amp;informatieblad!$B$16&amp;"-"&amp;B69&amp;"-"&amp;C69&amp;"-"&amp;D69&amp;"-"&amp;E69&amp;"-"&amp;F69&amp;"-"&amp;G69&amp;"-"&amp;H69&amp;"-"&amp;I69&amp;"-"&amp;B70&amp;"-"&amp;C70&amp;"-"&amp;D70&amp;"-"&amp;G71</f>
        <v>-RctT--0---0-0-0-0----Options None</v>
      </c>
      <c r="F70" s="174"/>
      <c r="G70" s="174"/>
      <c r="H70" s="174"/>
      <c r="I70" s="199"/>
      <c r="J70" s="83"/>
      <c r="S70" s="103">
        <f>A69</f>
        <v>0</v>
      </c>
      <c r="T70" s="104" t="s">
        <v>39</v>
      </c>
      <c r="U70" s="104" t="s">
        <v>39</v>
      </c>
      <c r="V70" s="104" t="s">
        <v>40</v>
      </c>
      <c r="W70" s="104" t="s">
        <v>40</v>
      </c>
      <c r="X70" s="104" t="s">
        <v>40</v>
      </c>
      <c r="Y70" s="105"/>
      <c r="Z70" s="155" t="s">
        <v>27</v>
      </c>
      <c r="AA70" s="155" t="s">
        <v>40</v>
      </c>
      <c r="AB70" s="155" t="s">
        <v>41</v>
      </c>
      <c r="AC70" s="156" t="s">
        <v>107</v>
      </c>
      <c r="AD70" s="104" t="s">
        <v>108</v>
      </c>
      <c r="AE70" s="107" t="s">
        <v>91</v>
      </c>
      <c r="AF70" s="107" t="s">
        <v>44</v>
      </c>
      <c r="AG70" s="107"/>
      <c r="AH70" s="104" t="s">
        <v>40</v>
      </c>
      <c r="AI70" s="104" t="s">
        <v>41</v>
      </c>
      <c r="AJ70" s="108"/>
      <c r="AK70" s="109"/>
      <c r="AM70" s="262" t="str">
        <f>informatieblad!$A$2</f>
        <v>FL20 loose</v>
      </c>
      <c r="AN70" s="263"/>
      <c r="AO70" s="263"/>
      <c r="AP70" s="262" t="str">
        <f>informatieblad!$A$3</f>
        <v>FL30 loose</v>
      </c>
      <c r="AQ70" s="263"/>
      <c r="AR70" s="105"/>
      <c r="AS70" s="263" t="str">
        <f>informatieblad!$A$4</f>
        <v>FL40 loose</v>
      </c>
      <c r="AT70" s="263"/>
      <c r="AU70" s="105"/>
      <c r="AV70" s="265"/>
      <c r="AW70" s="106"/>
      <c r="AX70" s="105"/>
      <c r="AY70" s="83"/>
      <c r="AZ70" s="267"/>
      <c r="BA70" s="83"/>
      <c r="BB70" s="267"/>
      <c r="BC70" s="83"/>
      <c r="BD70" s="265" t="s">
        <v>47</v>
      </c>
      <c r="BE70" s="106" t="s">
        <v>48</v>
      </c>
      <c r="BF70" s="106" t="s">
        <v>48</v>
      </c>
      <c r="BG70" s="290" t="s">
        <v>23</v>
      </c>
      <c r="BH70" s="83" t="s">
        <v>23</v>
      </c>
      <c r="BI70" s="83" t="s">
        <v>23</v>
      </c>
      <c r="BJ70" s="290" t="s">
        <v>23</v>
      </c>
      <c r="BK70" s="83" t="s">
        <v>23</v>
      </c>
      <c r="BL70" s="273" t="s">
        <v>23</v>
      </c>
    </row>
    <row r="71" spans="1:64" ht="15.75" thickBot="1">
      <c r="A71" s="447"/>
      <c r="B71" s="92" t="s">
        <v>23</v>
      </c>
      <c r="C71" s="110"/>
      <c r="D71" s="94">
        <f>C71*U71</f>
        <v>0</v>
      </c>
      <c r="E71" s="141" t="s">
        <v>24</v>
      </c>
      <c r="F71" s="200"/>
      <c r="G71" s="457" t="s">
        <v>25</v>
      </c>
      <c r="H71" s="491"/>
      <c r="I71" s="492"/>
      <c r="J71" s="176"/>
      <c r="S71" s="111"/>
      <c r="T71" s="112">
        <f>(((2*(B69+E69))*(D69+G69+H69+F69))+((2*(D69+E69))*(C69+I69+F69)))/1000000</f>
        <v>0</v>
      </c>
      <c r="U71" s="112">
        <f>((IF(T71&lt;=informatieblad!$I$16,informatieblad!$I$16,IF(T71&gt;=informatieblad!$I$16,T71))))</f>
        <v>0.5</v>
      </c>
      <c r="V71" s="112">
        <f>(((2*(B69+E69))*(D69+G69+H69+F69))+((2*(D69+E69))*(C69+I69+F69)))/1000000</f>
        <v>0</v>
      </c>
      <c r="W71" s="112">
        <f>((IF(V71&lt;=informatieblad!$H$16,informatieblad!$H$16,IF(V71&gt;=informatieblad!$H$16,V71))))</f>
        <v>0</v>
      </c>
      <c r="X71" s="113">
        <f>((W71*AH71)+(W71*AA71))*C71</f>
        <v>0</v>
      </c>
      <c r="Y71" s="114">
        <f>((U71*AI71)+(U71*AB71))*C71</f>
        <v>0</v>
      </c>
      <c r="Z71" s="115" t="str">
        <f>G71</f>
        <v>Options None</v>
      </c>
      <c r="AA71" s="115">
        <f>VLOOKUP(G71,informatieblad!$A$37:$D$41,2,FALSE)</f>
        <v>0</v>
      </c>
      <c r="AB71" s="115">
        <f>VLOOKUP(G71,informatieblad!$A$37:$D$41,4,FALSE)</f>
        <v>0</v>
      </c>
      <c r="AC71" s="180">
        <f>(MAX(J69,K69))</f>
        <v>0</v>
      </c>
      <c r="AD71" s="119">
        <f>(MAX(L69,M69))</f>
        <v>0</v>
      </c>
      <c r="AE71" s="119">
        <f>(MAX(J69,L69))</f>
        <v>0</v>
      </c>
      <c r="AF71" s="119">
        <f>(MAX(B69:E69))</f>
        <v>0</v>
      </c>
      <c r="AG71" s="119">
        <f>LOOKUP(AF71,informatieblad!$C$27:$C$32,informatieblad!$A$27:$A$32)</f>
        <v>0.5</v>
      </c>
      <c r="AH71" s="118">
        <f>VLOOKUP(AG71,informatieblad!$A$27:$M$32,6,FALSE)</f>
        <v>0</v>
      </c>
      <c r="AI71" s="118">
        <f>VLOOKUP(AG71,informatieblad!$A$27:$M$32,8,FALSE)</f>
        <v>45.1248</v>
      </c>
      <c r="AJ71" s="120">
        <f>VLOOKUP(AG71,informatieblad!$A$27:$M$32,13,FALSE)</f>
        <v>4</v>
      </c>
      <c r="AK71" s="121">
        <f>ROUND((AJ71*V71),1)</f>
        <v>0</v>
      </c>
      <c r="AM71" s="111">
        <f>(IF(B70=AM69,((2*B69)+(2*E69)),IF(B70=AM70,((2*B69)+(2*E69)),0)))*C71</f>
        <v>0</v>
      </c>
      <c r="AN71" s="261">
        <f>(IF(C70=AM69,((2*C69)+(2*E69)),IF(C70=AM70,((2*C69)+(2*E69)),0)))*C71</f>
        <v>0</v>
      </c>
      <c r="AO71" s="261">
        <f>(IF(D70=AM69,((2*D69)+(2*E69)),IF(D70=AM70,((2*D69)+(2*E69)),0)))*C71</f>
        <v>0</v>
      </c>
      <c r="AP71" s="111">
        <f>(IF(B70=AP69,((2*B69)+(2*E69)),IF(B70=AP70,((2*B69)+(2*E69)),0)))*C71</f>
        <v>0</v>
      </c>
      <c r="AQ71" s="261">
        <f>(IF(C70=AP69,((2*C69)+(2*E69)),IF(C70=AP70,((2*C69)+(2*E69)),0)))*C71</f>
        <v>0</v>
      </c>
      <c r="AR71" s="260">
        <f>(IF(D70=AP69,((2*D69)+(2*E69)),IF(D70=AP70,((2*D69)+(2*E69)),0)))*C71</f>
        <v>0</v>
      </c>
      <c r="AS71" s="261">
        <f>(IF(B70=AS69,((2*B69)+(2*E69)),IF(B70=AS70,((2*B69)+(2*E69)),0)))*C71</f>
        <v>0</v>
      </c>
      <c r="AT71" s="261">
        <f>(IF(C70=AS69,((2*C69)+(2*E69)),IF(C70=AS70,((2*C69)+(2*E69)),0)))*C71</f>
        <v>0</v>
      </c>
      <c r="AU71" s="260">
        <f>(IF(D70=AS69,((2*D69)+(2*E69)),IF(D70=AS70,((2*D69)+(2*E69)),0)))*C71</f>
        <v>0</v>
      </c>
      <c r="AV71" s="111">
        <f>(IF(B70=AV69,((2*B69)+(2*E69)),0))*C71</f>
        <v>0</v>
      </c>
      <c r="AW71" s="261">
        <f>(IF(C70=AV69,((2*C69)+(2*E69)),0))*C71</f>
        <v>0</v>
      </c>
      <c r="AX71" s="260">
        <f>(IF(D70=AV69,((2*D69)+(2*E69)),0))*C71</f>
        <v>0</v>
      </c>
      <c r="AY71" s="83"/>
      <c r="AZ71" s="268">
        <f>(D69+H57+H57+G69+I69)*C71</f>
        <v>0</v>
      </c>
      <c r="BA71" s="83"/>
      <c r="BB71" s="268">
        <f>(AE71+100)*C71</f>
        <v>0</v>
      </c>
      <c r="BC71" s="83"/>
      <c r="BD71" s="111" t="str">
        <f>IF(B70=informatieblad!$A$6,informatieblad!$B$6,IF(B70=informatieblad!$A$7,informatieblad!$B$7,IF(B70=informatieblad!$A$8,informatieblad!$B$8,IF(B70=informatieblad!$A$2,informatieblad!$B$2,IF(B70=informatieblad!$A$3,informatieblad!$B$3,IF(B70=informatieblad!$A$4,informatieblad!$B$4,IF(B70=informatieblad!$A$5,informatieblad!$B$5,"")))))))</f>
        <v/>
      </c>
      <c r="BE71" s="275" t="str">
        <f>IF(C70=informatieblad!$A$6,informatieblad!$B$6,IF(C70=informatieblad!$A$7,informatieblad!$B$7,IF(C70=informatieblad!$A$8,informatieblad!$B$8,IF(C70=informatieblad!$A$2,informatieblad!$B$2,IF(C70=informatieblad!$A$3,informatieblad!$B$3,IF(C70=informatieblad!$A$4,informatieblad!$B$4,IF(C70=informatieblad!$A$5,informatieblad!$B$5,"")))))))</f>
        <v/>
      </c>
      <c r="BF71" s="276" t="str">
        <f>IF(D70=informatieblad!$A$6,informatieblad!$B$6,IF(D70=informatieblad!$A$7,informatieblad!$B$7,IF(D70=informatieblad!$A$8,informatieblad!$B$8,IF(D70=informatieblad!$A$2,informatieblad!$B$2,IF(D70=informatieblad!$A$3,informatieblad!$B$3,IF(D70=informatieblad!$A$4,informatieblad!$B$4,IF(D70=informatieblad!$A$5,informatieblad!$B$5,"")))))))</f>
        <v/>
      </c>
      <c r="BG71" s="276">
        <f>IF(BD71=BG69,(4*C71),0)</f>
        <v>0</v>
      </c>
      <c r="BH71" s="276">
        <f>IF(BE71=BG69,(4*C71),0)</f>
        <v>0</v>
      </c>
      <c r="BI71" s="276">
        <f>IF(BF71=BG69,(4*C71),0)</f>
        <v>0</v>
      </c>
      <c r="BJ71" s="275">
        <f>IF(BD71=BJ69,(4*C71),0)</f>
        <v>0</v>
      </c>
      <c r="BK71" s="276">
        <f>IF(BE71=BJ69,(4*C71),0)</f>
        <v>0</v>
      </c>
      <c r="BL71" s="274">
        <f>IF(BF71=BJ69,(4*C71),0)</f>
        <v>0</v>
      </c>
    </row>
    <row r="72" spans="1:64" ht="5.0999999999999996" customHeight="1" thickBot="1">
      <c r="A72" s="145"/>
      <c r="B72" s="122"/>
      <c r="C72" s="122"/>
      <c r="D72" s="122"/>
      <c r="E72" s="122"/>
      <c r="F72" s="122"/>
      <c r="G72" s="122"/>
      <c r="H72" s="122"/>
      <c r="I72" s="146"/>
    </row>
    <row r="73" spans="1:64" ht="15" thickBot="1">
      <c r="A73" s="445"/>
      <c r="B73" s="96"/>
      <c r="C73" s="300">
        <f>B73</f>
        <v>0</v>
      </c>
      <c r="D73" s="96"/>
      <c r="E73" s="96"/>
      <c r="F73" s="300">
        <f>(B73&gt;0)*$H$9</f>
        <v>0</v>
      </c>
      <c r="G73" s="300">
        <f>(C73&gt;0)*$H$10</f>
        <v>0</v>
      </c>
      <c r="H73" s="300">
        <f>(D73&gt;0)*$H$11</f>
        <v>0</v>
      </c>
      <c r="I73" s="302">
        <f>(E73&gt;0)*$H$12</f>
        <v>0</v>
      </c>
      <c r="J73" s="345" t="s">
        <v>20</v>
      </c>
      <c r="S73" s="97" t="s">
        <v>14</v>
      </c>
      <c r="T73" s="98" t="s">
        <v>27</v>
      </c>
      <c r="U73" s="98" t="s">
        <v>28</v>
      </c>
      <c r="V73" s="98" t="s">
        <v>27</v>
      </c>
      <c r="W73" s="98" t="s">
        <v>28</v>
      </c>
      <c r="X73" s="98" t="s">
        <v>29</v>
      </c>
      <c r="Y73" s="66" t="s">
        <v>30</v>
      </c>
      <c r="Z73" s="153" t="s">
        <v>31</v>
      </c>
      <c r="AA73" s="153"/>
      <c r="AB73" s="153"/>
      <c r="AC73" s="154" t="s">
        <v>83</v>
      </c>
      <c r="AD73" s="100" t="s">
        <v>83</v>
      </c>
      <c r="AE73" s="100" t="s">
        <v>83</v>
      </c>
      <c r="AF73" s="100" t="s">
        <v>33</v>
      </c>
      <c r="AG73" s="100" t="s">
        <v>34</v>
      </c>
      <c r="AH73" s="98" t="s">
        <v>32</v>
      </c>
      <c r="AI73" s="98" t="s">
        <v>32</v>
      </c>
      <c r="AJ73" s="98" t="s">
        <v>49</v>
      </c>
      <c r="AK73" s="101" t="s">
        <v>36</v>
      </c>
      <c r="AM73" s="97" t="str">
        <f>informatieblad!$A$6</f>
        <v>FL20</v>
      </c>
      <c r="AN73" s="99"/>
      <c r="AO73" s="99"/>
      <c r="AP73" s="97" t="str">
        <f>informatieblad!$A$7</f>
        <v>FL30</v>
      </c>
      <c r="AQ73" s="99"/>
      <c r="AR73" s="66"/>
      <c r="AS73" s="99" t="str">
        <f>informatieblad!$A$8</f>
        <v>FL40</v>
      </c>
      <c r="AT73" s="99"/>
      <c r="AU73" s="66"/>
      <c r="AV73" s="97" t="str">
        <f>informatieblad!$A$5</f>
        <v>none</v>
      </c>
      <c r="AW73" s="99"/>
      <c r="AX73" s="264"/>
      <c r="AY73" s="83"/>
      <c r="AZ73" s="266" t="s">
        <v>17</v>
      </c>
      <c r="BA73" s="131"/>
      <c r="BB73" s="266" t="s">
        <v>37</v>
      </c>
      <c r="BC73" s="131"/>
      <c r="BD73" s="269" t="s">
        <v>38</v>
      </c>
      <c r="BE73" s="272"/>
      <c r="BF73" s="272"/>
      <c r="BG73" s="289">
        <f>informatieblad!$B$3</f>
        <v>0</v>
      </c>
      <c r="BH73" s="272"/>
      <c r="BI73" s="272"/>
      <c r="BJ73" s="289">
        <f>informatieblad!$B$4</f>
        <v>0</v>
      </c>
      <c r="BK73" s="272"/>
      <c r="BL73" s="264"/>
    </row>
    <row r="74" spans="1:64">
      <c r="A74" s="446"/>
      <c r="B74" s="202" t="str">
        <f>IF($C75&gt;0,IF(MAX(B73,E73)&lt;informatieblad!$Q$4,informatieblad!$P$3,IF(MAX(B73,E73)&gt;informatieblad!$R$4,informatieblad!$P$5,informatieblad!$P$4)),"")</f>
        <v/>
      </c>
      <c r="C74" s="202" t="str">
        <f>IF($C75&gt;0,IF(MAX(C73,E73)&lt;informatieblad!$Q$4,informatieblad!$P$3,IF(MAX(C73,E73)&gt;informatieblad!$R$4,informatieblad!$P$5,informatieblad!$P$4)),"")</f>
        <v/>
      </c>
      <c r="D74" s="203" t="str">
        <f>IF($C75&gt;0,IF(MAX(D73,E73)&lt;informatieblad!$Q$4,informatieblad!$P$3,IF(MAX(D73,E73)&gt;informatieblad!$R$4,informatieblad!$P$5,informatieblad!$P$4)),"")</f>
        <v/>
      </c>
      <c r="E74" s="190" t="str">
        <f>A73&amp;"-"&amp;informatieblad!$B$16&amp;"-"&amp;B73&amp;"-"&amp;C73&amp;"-"&amp;D73&amp;"-"&amp;E73&amp;"-"&amp;F73&amp;"-"&amp;G73&amp;"-"&amp;H73&amp;"-"&amp;I73&amp;"-"&amp;B74&amp;"-"&amp;C74&amp;"-"&amp;D74&amp;"-"&amp;G75</f>
        <v>-RctT--0---0-0-0-0----Options None</v>
      </c>
      <c r="F74" s="174"/>
      <c r="G74" s="174"/>
      <c r="H74" s="174"/>
      <c r="I74" s="199"/>
      <c r="J74" s="83"/>
      <c r="S74" s="103">
        <f>A73</f>
        <v>0</v>
      </c>
      <c r="T74" s="104" t="s">
        <v>39</v>
      </c>
      <c r="U74" s="104" t="s">
        <v>39</v>
      </c>
      <c r="V74" s="104" t="s">
        <v>40</v>
      </c>
      <c r="W74" s="104" t="s">
        <v>40</v>
      </c>
      <c r="X74" s="104" t="s">
        <v>40</v>
      </c>
      <c r="Y74" s="105"/>
      <c r="Z74" s="155" t="s">
        <v>27</v>
      </c>
      <c r="AA74" s="155" t="s">
        <v>40</v>
      </c>
      <c r="AB74" s="155" t="s">
        <v>41</v>
      </c>
      <c r="AC74" s="156" t="s">
        <v>107</v>
      </c>
      <c r="AD74" s="104" t="s">
        <v>108</v>
      </c>
      <c r="AE74" s="107" t="s">
        <v>91</v>
      </c>
      <c r="AF74" s="107" t="s">
        <v>44</v>
      </c>
      <c r="AG74" s="107"/>
      <c r="AH74" s="104" t="s">
        <v>40</v>
      </c>
      <c r="AI74" s="104" t="s">
        <v>41</v>
      </c>
      <c r="AJ74" s="108"/>
      <c r="AK74" s="109"/>
      <c r="AM74" s="262" t="str">
        <f>informatieblad!$A$2</f>
        <v>FL20 loose</v>
      </c>
      <c r="AN74" s="263"/>
      <c r="AO74" s="263"/>
      <c r="AP74" s="262" t="str">
        <f>informatieblad!$A$3</f>
        <v>FL30 loose</v>
      </c>
      <c r="AQ74" s="263"/>
      <c r="AR74" s="105"/>
      <c r="AS74" s="263" t="str">
        <f>informatieblad!$A$4</f>
        <v>FL40 loose</v>
      </c>
      <c r="AT74" s="263"/>
      <c r="AU74" s="105"/>
      <c r="AV74" s="265"/>
      <c r="AW74" s="106"/>
      <c r="AX74" s="105"/>
      <c r="AY74" s="83"/>
      <c r="AZ74" s="267"/>
      <c r="BA74" s="83"/>
      <c r="BB74" s="267"/>
      <c r="BC74" s="83"/>
      <c r="BD74" s="265" t="s">
        <v>47</v>
      </c>
      <c r="BE74" s="106" t="s">
        <v>48</v>
      </c>
      <c r="BF74" s="106" t="s">
        <v>48</v>
      </c>
      <c r="BG74" s="290" t="s">
        <v>23</v>
      </c>
      <c r="BH74" s="83" t="s">
        <v>23</v>
      </c>
      <c r="BI74" s="83" t="s">
        <v>23</v>
      </c>
      <c r="BJ74" s="290" t="s">
        <v>23</v>
      </c>
      <c r="BK74" s="83" t="s">
        <v>23</v>
      </c>
      <c r="BL74" s="273" t="s">
        <v>23</v>
      </c>
    </row>
    <row r="75" spans="1:64" ht="15.75" thickBot="1">
      <c r="A75" s="447"/>
      <c r="B75" s="92" t="s">
        <v>23</v>
      </c>
      <c r="C75" s="110"/>
      <c r="D75" s="94">
        <f>C75*U75</f>
        <v>0</v>
      </c>
      <c r="E75" s="141" t="s">
        <v>24</v>
      </c>
      <c r="F75" s="200"/>
      <c r="G75" s="457" t="s">
        <v>25</v>
      </c>
      <c r="H75" s="491"/>
      <c r="I75" s="492"/>
      <c r="J75" s="176"/>
      <c r="S75" s="111"/>
      <c r="T75" s="112">
        <f>(((2*(B73+E73))*(D73+G73+H73+F73))+((2*(D73+E73))*(C73+I73+F73)))/1000000</f>
        <v>0</v>
      </c>
      <c r="U75" s="112">
        <f>((IF(T75&lt;=informatieblad!$I$16,informatieblad!$I$16,IF(T75&gt;=informatieblad!$I$16,T75))))</f>
        <v>0.5</v>
      </c>
      <c r="V75" s="112">
        <f>(((2*(B73+E73))*(D73+G73+H73+F73))+((2*(D73+E73))*(C73+I73+F73)))/1000000</f>
        <v>0</v>
      </c>
      <c r="W75" s="112">
        <f>((IF(V75&lt;=informatieblad!$H$16,informatieblad!$H$16,IF(V75&gt;=informatieblad!$H$16,V75))))</f>
        <v>0</v>
      </c>
      <c r="X75" s="113">
        <f>((W75*AH75)+(W75*AA75))*C75</f>
        <v>0</v>
      </c>
      <c r="Y75" s="114">
        <f>((U75*AI75)+(U75*AB75))*C75</f>
        <v>0</v>
      </c>
      <c r="Z75" s="115" t="str">
        <f>G75</f>
        <v>Options None</v>
      </c>
      <c r="AA75" s="115">
        <f>VLOOKUP(G75,informatieblad!$A$37:$D$41,2,FALSE)</f>
        <v>0</v>
      </c>
      <c r="AB75" s="115">
        <f>VLOOKUP(G75,informatieblad!$A$37:$D$41,4,FALSE)</f>
        <v>0</v>
      </c>
      <c r="AC75" s="180">
        <f>(MAX(J73,K73))</f>
        <v>0</v>
      </c>
      <c r="AD75" s="119">
        <f>(MAX(L73,M73))</f>
        <v>0</v>
      </c>
      <c r="AE75" s="119">
        <f>(MAX(J73,L73))</f>
        <v>0</v>
      </c>
      <c r="AF75" s="119">
        <f>(MAX(B73:E73))</f>
        <v>0</v>
      </c>
      <c r="AG75" s="119">
        <f>LOOKUP(AF75,informatieblad!$C$27:$C$32,informatieblad!$A$27:$A$32)</f>
        <v>0.5</v>
      </c>
      <c r="AH75" s="118">
        <f>VLOOKUP(AG75,informatieblad!$A$27:$M$32,6,FALSE)</f>
        <v>0</v>
      </c>
      <c r="AI75" s="118">
        <f>VLOOKUP(AG75,informatieblad!$A$27:$M$32,8,FALSE)</f>
        <v>45.1248</v>
      </c>
      <c r="AJ75" s="120">
        <f>VLOOKUP(AG75,informatieblad!$A$27:$M$32,13,FALSE)</f>
        <v>4</v>
      </c>
      <c r="AK75" s="121">
        <f>ROUND((AJ75*V75),1)</f>
        <v>0</v>
      </c>
      <c r="AM75" s="111">
        <f>(IF(B74=AM73,((2*B73)+(2*E73)),IF(B74=AM74,((2*B73)+(2*E73)),0)))*C75</f>
        <v>0</v>
      </c>
      <c r="AN75" s="261">
        <f>(IF(C74=AM73,((2*C73)+(2*E73)),IF(C74=AM74,((2*C73)+(2*E73)),0)))*C75</f>
        <v>0</v>
      </c>
      <c r="AO75" s="261">
        <f>(IF(D74=AM73,((2*D73)+(2*E73)),IF(D74=AM74,((2*D73)+(2*E73)),0)))*C75</f>
        <v>0</v>
      </c>
      <c r="AP75" s="111">
        <f>(IF(B74=AP73,((2*B73)+(2*E73)),IF(B74=AP74,((2*B73)+(2*E73)),0)))*C75</f>
        <v>0</v>
      </c>
      <c r="AQ75" s="261">
        <f>(IF(C74=AP73,((2*C73)+(2*E73)),IF(C74=AP74,((2*C73)+(2*E73)),0)))*C75</f>
        <v>0</v>
      </c>
      <c r="AR75" s="260">
        <f>(IF(D74=AP73,((2*D73)+(2*E73)),IF(D74=AP74,((2*D73)+(2*E73)),0)))*C75</f>
        <v>0</v>
      </c>
      <c r="AS75" s="261">
        <f>(IF(B74=AS73,((2*B73)+(2*E73)),IF(B74=AS74,((2*B73)+(2*E73)),0)))*C75</f>
        <v>0</v>
      </c>
      <c r="AT75" s="261">
        <f>(IF(C74=AS73,((2*C73)+(2*E73)),IF(C74=AS74,((2*C73)+(2*E73)),0)))*C75</f>
        <v>0</v>
      </c>
      <c r="AU75" s="260">
        <f>(IF(D74=AS73,((2*D73)+(2*E73)),IF(D74=AS74,((2*D73)+(2*E73)),0)))*C75</f>
        <v>0</v>
      </c>
      <c r="AV75" s="111">
        <f>(IF(B74=AV73,((2*B73)+(2*E73)),0))*C75</f>
        <v>0</v>
      </c>
      <c r="AW75" s="261">
        <f>(IF(C74=AV73,((2*C73)+(2*E73)),0))*C75</f>
        <v>0</v>
      </c>
      <c r="AX75" s="260">
        <f>(IF(D74=AV73,((2*D73)+(2*E73)),0))*C75</f>
        <v>0</v>
      </c>
      <c r="AY75" s="83"/>
      <c r="AZ75" s="268">
        <f>(D73+H61+H61+G73+I73)*C75</f>
        <v>0</v>
      </c>
      <c r="BA75" s="83"/>
      <c r="BB75" s="268">
        <f>(AE75+100)*C75</f>
        <v>0</v>
      </c>
      <c r="BC75" s="83"/>
      <c r="BD75" s="111" t="str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/>
      </c>
      <c r="BE75" s="275" t="str">
        <f>IF(C74=informatieblad!$A$6,informatieblad!$B$6,IF(C74=informatieblad!$A$7,informatieblad!$B$7,IF(C74=informatieblad!$A$8,informatieblad!$B$8,IF(C74=informatieblad!$A$2,informatieblad!$B$2,IF(C74=informatieblad!$A$3,informatieblad!$B$3,IF(C74=informatieblad!$A$4,informatieblad!$B$4,IF(C74=informatieblad!$A$5,informatieblad!$B$5,"")))))))</f>
        <v/>
      </c>
      <c r="BF75" s="276" t="str">
        <f>IF(D74=informatieblad!$A$6,informatieblad!$B$6,IF(D74=informatieblad!$A$7,informatieblad!$B$7,IF(D74=informatieblad!$A$8,informatieblad!$B$8,IF(D74=informatieblad!$A$2,informatieblad!$B$2,IF(D74=informatieblad!$A$3,informatieblad!$B$3,IF(D74=informatieblad!$A$4,informatieblad!$B$4,IF(D74=informatieblad!$A$5,informatieblad!$B$5,"")))))))</f>
        <v/>
      </c>
      <c r="BG75" s="276">
        <f>IF(BD75=BG73,(4*C75),0)</f>
        <v>0</v>
      </c>
      <c r="BH75" s="276">
        <f>IF(BE75=BG73,(4*C75),0)</f>
        <v>0</v>
      </c>
      <c r="BI75" s="276">
        <f>IF(BF75=BG73,(4*C75),0)</f>
        <v>0</v>
      </c>
      <c r="BJ75" s="275">
        <f>IF(BD75=BJ73,(4*C75),0)</f>
        <v>0</v>
      </c>
      <c r="BK75" s="276">
        <f>IF(BE75=BJ73,(4*C75),0)</f>
        <v>0</v>
      </c>
      <c r="BL75" s="274">
        <f>IF(BF75=BJ73,(4*C75),0)</f>
        <v>0</v>
      </c>
    </row>
    <row r="76" spans="1:64" ht="5.0999999999999996" customHeight="1" thickBot="1">
      <c r="A76" s="145"/>
      <c r="B76" s="122"/>
      <c r="C76" s="122"/>
      <c r="D76" s="122"/>
      <c r="E76" s="122"/>
      <c r="F76" s="122"/>
      <c r="G76" s="122"/>
      <c r="H76" s="122"/>
      <c r="I76" s="146"/>
    </row>
    <row r="77" spans="1:64" ht="15" thickBot="1">
      <c r="A77" s="445"/>
      <c r="B77" s="96"/>
      <c r="C77" s="300">
        <f>B77</f>
        <v>0</v>
      </c>
      <c r="D77" s="96"/>
      <c r="E77" s="96"/>
      <c r="F77" s="300">
        <f>(B77&gt;0)*$H$9</f>
        <v>0</v>
      </c>
      <c r="G77" s="300">
        <f>(C77&gt;0)*$H$10</f>
        <v>0</v>
      </c>
      <c r="H77" s="300">
        <f>(D77&gt;0)*$H$11</f>
        <v>0</v>
      </c>
      <c r="I77" s="302">
        <f>(E77&gt;0)*$H$12</f>
        <v>0</v>
      </c>
      <c r="J77" s="345" t="s">
        <v>20</v>
      </c>
      <c r="S77" s="97" t="s">
        <v>14</v>
      </c>
      <c r="T77" s="98" t="s">
        <v>27</v>
      </c>
      <c r="U77" s="98" t="s">
        <v>28</v>
      </c>
      <c r="V77" s="98" t="s">
        <v>27</v>
      </c>
      <c r="W77" s="98" t="s">
        <v>28</v>
      </c>
      <c r="X77" s="98" t="s">
        <v>29</v>
      </c>
      <c r="Y77" s="66" t="s">
        <v>30</v>
      </c>
      <c r="Z77" s="153" t="s">
        <v>31</v>
      </c>
      <c r="AA77" s="153"/>
      <c r="AB77" s="153"/>
      <c r="AC77" s="154" t="s">
        <v>83</v>
      </c>
      <c r="AD77" s="100" t="s">
        <v>83</v>
      </c>
      <c r="AE77" s="100" t="s">
        <v>83</v>
      </c>
      <c r="AF77" s="100" t="s">
        <v>33</v>
      </c>
      <c r="AG77" s="100" t="s">
        <v>34</v>
      </c>
      <c r="AH77" s="98" t="s">
        <v>32</v>
      </c>
      <c r="AI77" s="98" t="s">
        <v>32</v>
      </c>
      <c r="AJ77" s="98" t="s">
        <v>49</v>
      </c>
      <c r="AK77" s="101" t="s">
        <v>36</v>
      </c>
      <c r="AM77" s="97" t="str">
        <f>informatieblad!$A$6</f>
        <v>FL20</v>
      </c>
      <c r="AN77" s="99"/>
      <c r="AO77" s="99"/>
      <c r="AP77" s="97" t="str">
        <f>informatieblad!$A$7</f>
        <v>FL30</v>
      </c>
      <c r="AQ77" s="99"/>
      <c r="AR77" s="66"/>
      <c r="AS77" s="99" t="str">
        <f>informatieblad!$A$8</f>
        <v>FL40</v>
      </c>
      <c r="AT77" s="99"/>
      <c r="AU77" s="66"/>
      <c r="AV77" s="97" t="str">
        <f>informatieblad!$A$5</f>
        <v>none</v>
      </c>
      <c r="AW77" s="99"/>
      <c r="AX77" s="264"/>
      <c r="AY77" s="83"/>
      <c r="AZ77" s="266" t="s">
        <v>17</v>
      </c>
      <c r="BA77" s="131"/>
      <c r="BB77" s="266" t="s">
        <v>37</v>
      </c>
      <c r="BC77" s="131"/>
      <c r="BD77" s="269" t="s">
        <v>38</v>
      </c>
      <c r="BE77" s="272"/>
      <c r="BF77" s="272"/>
      <c r="BG77" s="289">
        <f>informatieblad!$B$3</f>
        <v>0</v>
      </c>
      <c r="BH77" s="272"/>
      <c r="BI77" s="272"/>
      <c r="BJ77" s="289">
        <f>informatieblad!$B$4</f>
        <v>0</v>
      </c>
      <c r="BK77" s="272"/>
      <c r="BL77" s="264"/>
    </row>
    <row r="78" spans="1:64">
      <c r="A78" s="446"/>
      <c r="B78" s="202" t="str">
        <f>IF($C79&gt;0,IF(MAX(B77,E77)&lt;informatieblad!$Q$4,informatieblad!$P$3,IF(MAX(B77,E77)&gt;informatieblad!$R$4,informatieblad!$P$5,informatieblad!$P$4)),"")</f>
        <v/>
      </c>
      <c r="C78" s="202" t="str">
        <f>IF($C79&gt;0,IF(MAX(C77,E77)&lt;informatieblad!$Q$4,informatieblad!$P$3,IF(MAX(C77,E77)&gt;informatieblad!$R$4,informatieblad!$P$5,informatieblad!$P$4)),"")</f>
        <v/>
      </c>
      <c r="D78" s="203" t="str">
        <f>IF($C79&gt;0,IF(MAX(D77,E77)&lt;informatieblad!$Q$4,informatieblad!$P$3,IF(MAX(D77,E77)&gt;informatieblad!$R$4,informatieblad!$P$5,informatieblad!$P$4)),"")</f>
        <v/>
      </c>
      <c r="E78" s="204" t="str">
        <f>A77&amp;"-"&amp;informatieblad!$B$16&amp;"-"&amp;B77&amp;"-"&amp;C77&amp;"-"&amp;D77&amp;"-"&amp;E77&amp;"-"&amp;F77&amp;"-"&amp;G77&amp;"-"&amp;H77&amp;"-"&amp;I77&amp;"-"&amp;B78&amp;"-"&amp;C78&amp;"-"&amp;D78&amp;"-"&amp;G79</f>
        <v>-RctT--0---0-0-0-0----Options None</v>
      </c>
      <c r="F78" s="174"/>
      <c r="G78" s="174"/>
      <c r="H78" s="174"/>
      <c r="I78" s="199"/>
      <c r="J78" s="83"/>
      <c r="S78" s="103">
        <f>A77</f>
        <v>0</v>
      </c>
      <c r="T78" s="104" t="s">
        <v>39</v>
      </c>
      <c r="U78" s="104" t="s">
        <v>39</v>
      </c>
      <c r="V78" s="104" t="s">
        <v>40</v>
      </c>
      <c r="W78" s="104" t="s">
        <v>40</v>
      </c>
      <c r="X78" s="104" t="s">
        <v>40</v>
      </c>
      <c r="Y78" s="105"/>
      <c r="Z78" s="155" t="s">
        <v>27</v>
      </c>
      <c r="AA78" s="155" t="s">
        <v>40</v>
      </c>
      <c r="AB78" s="155" t="s">
        <v>41</v>
      </c>
      <c r="AC78" s="156" t="s">
        <v>107</v>
      </c>
      <c r="AD78" s="104" t="s">
        <v>108</v>
      </c>
      <c r="AE78" s="107" t="s">
        <v>91</v>
      </c>
      <c r="AF78" s="107" t="s">
        <v>44</v>
      </c>
      <c r="AG78" s="107"/>
      <c r="AH78" s="104" t="s">
        <v>40</v>
      </c>
      <c r="AI78" s="104" t="s">
        <v>41</v>
      </c>
      <c r="AJ78" s="108"/>
      <c r="AK78" s="109"/>
      <c r="AM78" s="262" t="str">
        <f>informatieblad!$A$2</f>
        <v>FL20 loose</v>
      </c>
      <c r="AN78" s="263"/>
      <c r="AO78" s="263"/>
      <c r="AP78" s="262" t="str">
        <f>informatieblad!$A$3</f>
        <v>FL30 loose</v>
      </c>
      <c r="AQ78" s="263"/>
      <c r="AR78" s="105"/>
      <c r="AS78" s="263" t="str">
        <f>informatieblad!$A$4</f>
        <v>FL40 loose</v>
      </c>
      <c r="AT78" s="263"/>
      <c r="AU78" s="105"/>
      <c r="AV78" s="265"/>
      <c r="AW78" s="106"/>
      <c r="AX78" s="105"/>
      <c r="AY78" s="83"/>
      <c r="AZ78" s="267"/>
      <c r="BA78" s="83"/>
      <c r="BB78" s="267"/>
      <c r="BC78" s="83"/>
      <c r="BD78" s="265" t="s">
        <v>47</v>
      </c>
      <c r="BE78" s="106" t="s">
        <v>48</v>
      </c>
      <c r="BF78" s="106" t="s">
        <v>48</v>
      </c>
      <c r="BG78" s="290" t="s">
        <v>23</v>
      </c>
      <c r="BH78" s="83" t="s">
        <v>23</v>
      </c>
      <c r="BI78" s="83" t="s">
        <v>23</v>
      </c>
      <c r="BJ78" s="290" t="s">
        <v>23</v>
      </c>
      <c r="BK78" s="83" t="s">
        <v>23</v>
      </c>
      <c r="BL78" s="273" t="s">
        <v>23</v>
      </c>
    </row>
    <row r="79" spans="1:64" ht="15.75" thickBot="1">
      <c r="A79" s="447"/>
      <c r="B79" s="92" t="s">
        <v>23</v>
      </c>
      <c r="C79" s="110"/>
      <c r="D79" s="94">
        <f>C79*U79</f>
        <v>0</v>
      </c>
      <c r="E79" s="141" t="s">
        <v>24</v>
      </c>
      <c r="F79" s="200"/>
      <c r="G79" s="451" t="s">
        <v>25</v>
      </c>
      <c r="H79" s="522"/>
      <c r="I79" s="523"/>
      <c r="J79" s="176"/>
      <c r="S79" s="111"/>
      <c r="T79" s="112">
        <f>(((2*(B77+E77))*(D77+G77+H77+F77))+((2*(D77+E77))*(C77+I77+F77)))/1000000</f>
        <v>0</v>
      </c>
      <c r="U79" s="112">
        <f>((IF(T79&lt;=informatieblad!$I$16,informatieblad!$I$16,IF(T79&gt;=informatieblad!$I$16,T79))))</f>
        <v>0.5</v>
      </c>
      <c r="V79" s="112">
        <f>(((2*(B77+E77))*(D77+G77+H77+F77))+((2*(D77+E77))*(C77+I77+F77)))/1000000</f>
        <v>0</v>
      </c>
      <c r="W79" s="112">
        <f>((IF(V79&lt;=informatieblad!$H$16,informatieblad!$H$16,IF(V79&gt;=informatieblad!$H$16,V79))))</f>
        <v>0</v>
      </c>
      <c r="X79" s="113">
        <f>((W79*AH79)+(W79*AA79))*C79</f>
        <v>0</v>
      </c>
      <c r="Y79" s="114">
        <f>((U79*AI79)+(U79*AB79))*C79</f>
        <v>0</v>
      </c>
      <c r="Z79" s="115" t="str">
        <f>G79</f>
        <v>Options None</v>
      </c>
      <c r="AA79" s="115">
        <f>VLOOKUP(G79,informatieblad!$A$37:$D$41,2,FALSE)</f>
        <v>0</v>
      </c>
      <c r="AB79" s="115">
        <f>VLOOKUP(G79,informatieblad!$A$37:$D$41,4,FALSE)</f>
        <v>0</v>
      </c>
      <c r="AC79" s="180">
        <f>(MAX(J77,K77))</f>
        <v>0</v>
      </c>
      <c r="AD79" s="119">
        <f>(MAX(L77,M77))</f>
        <v>0</v>
      </c>
      <c r="AE79" s="119">
        <f>(MAX(J77,L77))</f>
        <v>0</v>
      </c>
      <c r="AF79" s="119">
        <f>(MAX(B77:E77))</f>
        <v>0</v>
      </c>
      <c r="AG79" s="119">
        <f>LOOKUP(AF79,informatieblad!$C$27:$C$32,informatieblad!$A$27:$A$32)</f>
        <v>0.5</v>
      </c>
      <c r="AH79" s="118">
        <f>VLOOKUP(AG79,informatieblad!$A$27:$M$32,6,FALSE)</f>
        <v>0</v>
      </c>
      <c r="AI79" s="118">
        <f>VLOOKUP(AG79,informatieblad!$A$27:$M$32,8,FALSE)</f>
        <v>45.1248</v>
      </c>
      <c r="AJ79" s="120">
        <f>VLOOKUP(AG79,informatieblad!$A$27:$M$32,13,FALSE)</f>
        <v>4</v>
      </c>
      <c r="AK79" s="121">
        <f>ROUND((AJ79*V79),1)</f>
        <v>0</v>
      </c>
      <c r="AM79" s="111">
        <f>(IF(B78=AM77,((2*B77)+(2*E77)),IF(B78=AM78,((2*B77)+(2*E77)),0)))*C79</f>
        <v>0</v>
      </c>
      <c r="AN79" s="261">
        <f>(IF(C78=AM77,((2*C77)+(2*E77)),IF(C78=AM78,((2*C77)+(2*E77)),0)))*C79</f>
        <v>0</v>
      </c>
      <c r="AO79" s="261">
        <f>(IF(D78=AM77,((2*D77)+(2*E77)),IF(D78=AM78,((2*D77)+(2*E77)),0)))*C79</f>
        <v>0</v>
      </c>
      <c r="AP79" s="111">
        <f>(IF(B78=AP77,((2*B77)+(2*E77)),IF(B78=AP78,((2*B77)+(2*E77)),0)))*C79</f>
        <v>0</v>
      </c>
      <c r="AQ79" s="261">
        <f>(IF(C78=AP77,((2*C77)+(2*E77)),IF(C78=AP78,((2*C77)+(2*E77)),0)))*C79</f>
        <v>0</v>
      </c>
      <c r="AR79" s="260">
        <f>(IF(D78=AP77,((2*D77)+(2*E77)),IF(D78=AP78,((2*D77)+(2*E77)),0)))*C79</f>
        <v>0</v>
      </c>
      <c r="AS79" s="261">
        <f>(IF(B78=AS77,((2*B77)+(2*E77)),IF(B78=AS78,((2*B77)+(2*E77)),0)))*C79</f>
        <v>0</v>
      </c>
      <c r="AT79" s="261">
        <f>(IF(C78=AS77,((2*C77)+(2*E77)),IF(C78=AS78,((2*C77)+(2*E77)),0)))*C79</f>
        <v>0</v>
      </c>
      <c r="AU79" s="260">
        <f>(IF(D78=AS77,((2*D77)+(2*E77)),IF(D78=AS78,((2*D77)+(2*E77)),0)))*C79</f>
        <v>0</v>
      </c>
      <c r="AV79" s="111">
        <f>(IF(B78=AV77,((2*B77)+(2*E77)),0))*C79</f>
        <v>0</v>
      </c>
      <c r="AW79" s="261">
        <f>(IF(C78=AV77,((2*C77)+(2*E77)),0))*C79</f>
        <v>0</v>
      </c>
      <c r="AX79" s="260">
        <f>(IF(D78=AV77,((2*D77)+(2*E77)),0))*C79</f>
        <v>0</v>
      </c>
      <c r="AY79" s="83"/>
      <c r="AZ79" s="268">
        <f>(D77+H65+H65+G77+I77)*C79</f>
        <v>0</v>
      </c>
      <c r="BA79" s="83"/>
      <c r="BB79" s="268">
        <f>(AE79+100)*C79</f>
        <v>0</v>
      </c>
      <c r="BC79" s="83"/>
      <c r="BD79" s="111" t="str">
        <f>IF(B78=informatieblad!$A$6,informatieblad!$B$6,IF(B78=informatieblad!$A$7,informatieblad!$B$7,IF(B78=informatieblad!$A$8,informatieblad!$B$8,IF(B78=informatieblad!$A$2,informatieblad!$B$2,IF(B78=informatieblad!$A$3,informatieblad!$B$3,IF(B78=informatieblad!$A$4,informatieblad!$B$4,IF(B78=informatieblad!$A$5,informatieblad!$B$5,"")))))))</f>
        <v/>
      </c>
      <c r="BE79" s="275" t="str">
        <f>IF(C78=informatieblad!$A$6,informatieblad!$B$6,IF(C78=informatieblad!$A$7,informatieblad!$B$7,IF(C78=informatieblad!$A$8,informatieblad!$B$8,IF(C78=informatieblad!$A$2,informatieblad!$B$2,IF(C78=informatieblad!$A$3,informatieblad!$B$3,IF(C78=informatieblad!$A$4,informatieblad!$B$4,IF(C78=informatieblad!$A$5,informatieblad!$B$5,"")))))))</f>
        <v/>
      </c>
      <c r="BF79" s="276" t="str">
        <f>IF(D78=informatieblad!$A$6,informatieblad!$B$6,IF(D78=informatieblad!$A$7,informatieblad!$B$7,IF(D78=informatieblad!$A$8,informatieblad!$B$8,IF(D78=informatieblad!$A$2,informatieblad!$B$2,IF(D78=informatieblad!$A$3,informatieblad!$B$3,IF(D78=informatieblad!$A$4,informatieblad!$B$4,IF(D78=informatieblad!$A$5,informatieblad!$B$5,"")))))))</f>
        <v/>
      </c>
      <c r="BG79" s="276">
        <f>IF(BD79=BG77,(4*C79),0)</f>
        <v>0</v>
      </c>
      <c r="BH79" s="276">
        <f>IF(BE79=BG77,(4*C79),0)</f>
        <v>0</v>
      </c>
      <c r="BI79" s="276">
        <f>IF(BF79=BG77,(4*C79),0)</f>
        <v>0</v>
      </c>
      <c r="BJ79" s="275">
        <f>IF(BD79=BJ77,(4*C79),0)</f>
        <v>0</v>
      </c>
      <c r="BK79" s="276">
        <f>IF(BE79=BJ77,(4*C79),0)</f>
        <v>0</v>
      </c>
      <c r="BL79" s="274">
        <f>IF(BF79=BJ77,(4*C79),0)</f>
        <v>0</v>
      </c>
    </row>
    <row r="80" spans="1:64" ht="5.0999999999999996" customHeight="1" thickBot="1">
      <c r="A80" s="145"/>
      <c r="B80" s="122"/>
      <c r="C80" s="122"/>
      <c r="D80" s="122"/>
      <c r="E80" s="122"/>
      <c r="F80" s="122"/>
      <c r="G80" s="122"/>
      <c r="H80" s="122"/>
      <c r="I80" s="146"/>
    </row>
    <row r="81" spans="1:64" ht="15" thickBot="1">
      <c r="A81" s="445"/>
      <c r="B81" s="96"/>
      <c r="C81" s="300">
        <f>B81</f>
        <v>0</v>
      </c>
      <c r="D81" s="96"/>
      <c r="E81" s="96"/>
      <c r="F81" s="300">
        <f>(B81&gt;0)*$H$9</f>
        <v>0</v>
      </c>
      <c r="G81" s="300">
        <f>(C81&gt;0)*$H$10</f>
        <v>0</v>
      </c>
      <c r="H81" s="300">
        <f>(D81&gt;0)*$H$11</f>
        <v>0</v>
      </c>
      <c r="I81" s="302">
        <f>(E81&gt;0)*$H$12</f>
        <v>0</v>
      </c>
      <c r="J81" s="345" t="s">
        <v>20</v>
      </c>
      <c r="S81" s="97" t="s">
        <v>14</v>
      </c>
      <c r="T81" s="98" t="s">
        <v>27</v>
      </c>
      <c r="U81" s="98" t="s">
        <v>28</v>
      </c>
      <c r="V81" s="98" t="s">
        <v>27</v>
      </c>
      <c r="W81" s="98" t="s">
        <v>28</v>
      </c>
      <c r="X81" s="98" t="s">
        <v>29</v>
      </c>
      <c r="Y81" s="66" t="s">
        <v>30</v>
      </c>
      <c r="Z81" s="153" t="s">
        <v>31</v>
      </c>
      <c r="AA81" s="153"/>
      <c r="AB81" s="153"/>
      <c r="AC81" s="154" t="s">
        <v>83</v>
      </c>
      <c r="AD81" s="100" t="s">
        <v>83</v>
      </c>
      <c r="AE81" s="100" t="s">
        <v>83</v>
      </c>
      <c r="AF81" s="100" t="s">
        <v>33</v>
      </c>
      <c r="AG81" s="100" t="s">
        <v>34</v>
      </c>
      <c r="AH81" s="98" t="s">
        <v>32</v>
      </c>
      <c r="AI81" s="98" t="s">
        <v>32</v>
      </c>
      <c r="AJ81" s="98" t="s">
        <v>49</v>
      </c>
      <c r="AK81" s="101" t="s">
        <v>36</v>
      </c>
      <c r="AM81" s="97" t="str">
        <f>informatieblad!$A$6</f>
        <v>FL20</v>
      </c>
      <c r="AN81" s="99"/>
      <c r="AO81" s="99"/>
      <c r="AP81" s="97" t="str">
        <f>informatieblad!$A$7</f>
        <v>FL30</v>
      </c>
      <c r="AQ81" s="99"/>
      <c r="AR81" s="66"/>
      <c r="AS81" s="99" t="str">
        <f>informatieblad!$A$8</f>
        <v>FL40</v>
      </c>
      <c r="AT81" s="99"/>
      <c r="AU81" s="66"/>
      <c r="AV81" s="97" t="str">
        <f>informatieblad!$A$5</f>
        <v>none</v>
      </c>
      <c r="AW81" s="99"/>
      <c r="AX81" s="264"/>
      <c r="AY81" s="83"/>
      <c r="AZ81" s="266" t="s">
        <v>17</v>
      </c>
      <c r="BA81" s="131"/>
      <c r="BB81" s="266" t="s">
        <v>37</v>
      </c>
      <c r="BC81" s="131"/>
      <c r="BD81" s="269" t="s">
        <v>38</v>
      </c>
      <c r="BE81" s="272"/>
      <c r="BF81" s="272"/>
      <c r="BG81" s="289">
        <f>informatieblad!$B$3</f>
        <v>0</v>
      </c>
      <c r="BH81" s="272"/>
      <c r="BI81" s="272"/>
      <c r="BJ81" s="289">
        <f>informatieblad!$B$4</f>
        <v>0</v>
      </c>
      <c r="BK81" s="272"/>
      <c r="BL81" s="264"/>
    </row>
    <row r="82" spans="1:64">
      <c r="A82" s="446"/>
      <c r="B82" s="202" t="str">
        <f>IF($C83&gt;0,IF(MAX(B81,E81)&lt;informatieblad!$Q$4,informatieblad!$P$3,IF(MAX(B81,E81)&gt;informatieblad!$R$4,informatieblad!$P$5,informatieblad!$P$4)),"")</f>
        <v/>
      </c>
      <c r="C82" s="202" t="str">
        <f>IF($C83&gt;0,IF(MAX(C81,E81)&lt;informatieblad!$Q$4,informatieblad!$P$3,IF(MAX(C81,E81)&gt;informatieblad!$R$4,informatieblad!$P$5,informatieblad!$P$4)),"")</f>
        <v/>
      </c>
      <c r="D82" s="203" t="str">
        <f>IF($C83&gt;0,IF(MAX(D81,E81)&lt;informatieblad!$Q$4,informatieblad!$P$3,IF(MAX(D81,E81)&gt;informatieblad!$R$4,informatieblad!$P$5,informatieblad!$P$4)),"")</f>
        <v/>
      </c>
      <c r="E82" s="190" t="str">
        <f>A81&amp;"-"&amp;informatieblad!$B$16&amp;"-"&amp;B81&amp;"-"&amp;C81&amp;"-"&amp;D81&amp;"-"&amp;E81&amp;"-"&amp;F81&amp;"-"&amp;G81&amp;"-"&amp;H81&amp;"-"&amp;I81&amp;"-"&amp;B82&amp;"-"&amp;C82&amp;"-"&amp;D82&amp;"-"&amp;G83</f>
        <v>-RctT--0---0-0-0-0----Options None</v>
      </c>
      <c r="F82" s="174"/>
      <c r="G82" s="174"/>
      <c r="H82" s="174"/>
      <c r="I82" s="199"/>
      <c r="J82" s="83"/>
      <c r="S82" s="103">
        <f>A81</f>
        <v>0</v>
      </c>
      <c r="T82" s="104" t="s">
        <v>39</v>
      </c>
      <c r="U82" s="104" t="s">
        <v>39</v>
      </c>
      <c r="V82" s="104" t="s">
        <v>40</v>
      </c>
      <c r="W82" s="104" t="s">
        <v>40</v>
      </c>
      <c r="X82" s="104" t="s">
        <v>40</v>
      </c>
      <c r="Y82" s="105"/>
      <c r="Z82" s="155" t="s">
        <v>27</v>
      </c>
      <c r="AA82" s="155" t="s">
        <v>40</v>
      </c>
      <c r="AB82" s="155" t="s">
        <v>41</v>
      </c>
      <c r="AC82" s="156" t="s">
        <v>107</v>
      </c>
      <c r="AD82" s="104" t="s">
        <v>108</v>
      </c>
      <c r="AE82" s="107" t="s">
        <v>91</v>
      </c>
      <c r="AF82" s="107" t="s">
        <v>44</v>
      </c>
      <c r="AG82" s="107"/>
      <c r="AH82" s="104" t="s">
        <v>40</v>
      </c>
      <c r="AI82" s="104" t="s">
        <v>41</v>
      </c>
      <c r="AJ82" s="108"/>
      <c r="AK82" s="109"/>
      <c r="AM82" s="262" t="str">
        <f>informatieblad!$A$2</f>
        <v>FL20 loose</v>
      </c>
      <c r="AN82" s="263"/>
      <c r="AO82" s="263"/>
      <c r="AP82" s="262" t="str">
        <f>informatieblad!$A$3</f>
        <v>FL30 loose</v>
      </c>
      <c r="AQ82" s="263"/>
      <c r="AR82" s="105"/>
      <c r="AS82" s="263" t="str">
        <f>informatieblad!$A$4</f>
        <v>FL40 loose</v>
      </c>
      <c r="AT82" s="263"/>
      <c r="AU82" s="105"/>
      <c r="AV82" s="265"/>
      <c r="AW82" s="106"/>
      <c r="AX82" s="105"/>
      <c r="AY82" s="83"/>
      <c r="AZ82" s="267"/>
      <c r="BA82" s="83"/>
      <c r="BB82" s="267"/>
      <c r="BC82" s="83"/>
      <c r="BD82" s="265" t="s">
        <v>47</v>
      </c>
      <c r="BE82" s="106" t="s">
        <v>48</v>
      </c>
      <c r="BF82" s="106" t="s">
        <v>48</v>
      </c>
      <c r="BG82" s="290" t="s">
        <v>23</v>
      </c>
      <c r="BH82" s="83" t="s">
        <v>23</v>
      </c>
      <c r="BI82" s="83" t="s">
        <v>23</v>
      </c>
      <c r="BJ82" s="290" t="s">
        <v>23</v>
      </c>
      <c r="BK82" s="83" t="s">
        <v>23</v>
      </c>
      <c r="BL82" s="273" t="s">
        <v>23</v>
      </c>
    </row>
    <row r="83" spans="1:64" ht="15.75" thickBot="1">
      <c r="A83" s="447"/>
      <c r="B83" s="92" t="s">
        <v>23</v>
      </c>
      <c r="C83" s="110"/>
      <c r="D83" s="94">
        <f>C83*U83</f>
        <v>0</v>
      </c>
      <c r="E83" s="141" t="s">
        <v>24</v>
      </c>
      <c r="F83" s="200"/>
      <c r="G83" s="457" t="s">
        <v>25</v>
      </c>
      <c r="H83" s="491"/>
      <c r="I83" s="492"/>
      <c r="J83" s="176"/>
      <c r="S83" s="111"/>
      <c r="T83" s="112">
        <f>(((2*(B81+E81))*(D81+G81+H81+F81))+((2*(D81+E81))*(C81+I81+F81)))/1000000</f>
        <v>0</v>
      </c>
      <c r="U83" s="112">
        <f>((IF(T83&lt;=informatieblad!$I$16,informatieblad!$I$16,IF(T83&gt;=informatieblad!$I$16,T83))))</f>
        <v>0.5</v>
      </c>
      <c r="V83" s="112">
        <f>(((2*(B81+E81))*(D81+G81+H81+F81))+((2*(D81+E81))*(C81+I81+F81)))/1000000</f>
        <v>0</v>
      </c>
      <c r="W83" s="112">
        <f>((IF(V83&lt;=informatieblad!$H$16,informatieblad!$H$16,IF(V83&gt;=informatieblad!$H$16,V83))))</f>
        <v>0</v>
      </c>
      <c r="X83" s="113">
        <f>((W83*AH83)+(W83*AA83))*C83</f>
        <v>0</v>
      </c>
      <c r="Y83" s="114">
        <f>((U83*AI83)+(U83*AB83))*C83</f>
        <v>0</v>
      </c>
      <c r="Z83" s="115" t="str">
        <f>G83</f>
        <v>Options None</v>
      </c>
      <c r="AA83" s="115">
        <f>VLOOKUP(G83,informatieblad!$A$37:$D$41,2,FALSE)</f>
        <v>0</v>
      </c>
      <c r="AB83" s="115">
        <f>VLOOKUP(G83,informatieblad!$A$37:$D$41,4,FALSE)</f>
        <v>0</v>
      </c>
      <c r="AC83" s="180">
        <f>(MAX(J81,K81))</f>
        <v>0</v>
      </c>
      <c r="AD83" s="119">
        <f>(MAX(L81,M81))</f>
        <v>0</v>
      </c>
      <c r="AE83" s="119">
        <f>(MAX(J81,L81))</f>
        <v>0</v>
      </c>
      <c r="AF83" s="119">
        <f>(MAX(B81:E81))</f>
        <v>0</v>
      </c>
      <c r="AG83" s="119">
        <f>LOOKUP(AF83,informatieblad!$C$27:$C$32,informatieblad!$A$27:$A$32)</f>
        <v>0.5</v>
      </c>
      <c r="AH83" s="118">
        <f>VLOOKUP(AG83,informatieblad!$A$27:$M$32,6,FALSE)</f>
        <v>0</v>
      </c>
      <c r="AI83" s="118">
        <f>VLOOKUP(AG83,informatieblad!$A$27:$M$32,8,FALSE)</f>
        <v>45.1248</v>
      </c>
      <c r="AJ83" s="120">
        <f>VLOOKUP(AG83,informatieblad!$A$27:$M$32,13,FALSE)</f>
        <v>4</v>
      </c>
      <c r="AK83" s="121">
        <f>ROUND((AJ83*V83),1)</f>
        <v>0</v>
      </c>
      <c r="AM83" s="111">
        <f>(IF(B82=AM81,((2*B81)+(2*E81)),IF(B82=AM82,((2*B81)+(2*E81)),0)))*C83</f>
        <v>0</v>
      </c>
      <c r="AN83" s="261">
        <f>(IF(C82=AM81,((2*C81)+(2*E81)),IF(C82=AM82,((2*C81)+(2*E81)),0)))*C83</f>
        <v>0</v>
      </c>
      <c r="AO83" s="261">
        <f>(IF(D82=AM81,((2*D81)+(2*E81)),IF(D82=AM82,((2*D81)+(2*E81)),0)))*C83</f>
        <v>0</v>
      </c>
      <c r="AP83" s="111">
        <f>(IF(B82=AP81,((2*B81)+(2*E81)),IF(B82=AP82,((2*B81)+(2*E81)),0)))*C83</f>
        <v>0</v>
      </c>
      <c r="AQ83" s="261">
        <f>(IF(C82=AP81,((2*C81)+(2*E81)),IF(C82=AP82,((2*C81)+(2*E81)),0)))*C83</f>
        <v>0</v>
      </c>
      <c r="AR83" s="260">
        <f>(IF(D82=AP81,((2*D81)+(2*E81)),IF(D82=AP82,((2*D81)+(2*E81)),0)))*C83</f>
        <v>0</v>
      </c>
      <c r="AS83" s="261">
        <f>(IF(B82=AS81,((2*B81)+(2*E81)),IF(B82=AS82,((2*B81)+(2*E81)),0)))*C83</f>
        <v>0</v>
      </c>
      <c r="AT83" s="261">
        <f>(IF(C82=AS81,((2*C81)+(2*E81)),IF(C82=AS82,((2*C81)+(2*E81)),0)))*C83</f>
        <v>0</v>
      </c>
      <c r="AU83" s="260">
        <f>(IF(D82=AS81,((2*D81)+(2*E81)),IF(D82=AS82,((2*D81)+(2*E81)),0)))*C83</f>
        <v>0</v>
      </c>
      <c r="AV83" s="111">
        <f>(IF(B82=AV81,((2*B81)+(2*E81)),0))*C83</f>
        <v>0</v>
      </c>
      <c r="AW83" s="261">
        <f>(IF(C82=AV81,((2*C81)+(2*E81)),0))*C83</f>
        <v>0</v>
      </c>
      <c r="AX83" s="260">
        <f>(IF(D82=AV81,((2*D81)+(2*E81)),0))*C83</f>
        <v>0</v>
      </c>
      <c r="AY83" s="83"/>
      <c r="AZ83" s="268">
        <f>(D81+H69+H69+G81+I81)*C83</f>
        <v>0</v>
      </c>
      <c r="BA83" s="83"/>
      <c r="BB83" s="268">
        <f>(AE83+100)*C83</f>
        <v>0</v>
      </c>
      <c r="BC83" s="83"/>
      <c r="BD83" s="111" t="str">
        <f>IF(B82=informatieblad!$A$6,informatieblad!$B$6,IF(B82=informatieblad!$A$7,informatieblad!$B$7,IF(B82=informatieblad!$A$8,informatieblad!$B$8,IF(B82=informatieblad!$A$2,informatieblad!$B$2,IF(B82=informatieblad!$A$3,informatieblad!$B$3,IF(B82=informatieblad!$A$4,informatieblad!$B$4,IF(B82=informatieblad!$A$5,informatieblad!$B$5,"")))))))</f>
        <v/>
      </c>
      <c r="BE83" s="275" t="str">
        <f>IF(C82=informatieblad!$A$6,informatieblad!$B$6,IF(C82=informatieblad!$A$7,informatieblad!$B$7,IF(C82=informatieblad!$A$8,informatieblad!$B$8,IF(C82=informatieblad!$A$2,informatieblad!$B$2,IF(C82=informatieblad!$A$3,informatieblad!$B$3,IF(C82=informatieblad!$A$4,informatieblad!$B$4,IF(C82=informatieblad!$A$5,informatieblad!$B$5,"")))))))</f>
        <v/>
      </c>
      <c r="BF83" s="276" t="str">
        <f>IF(D82=informatieblad!$A$6,informatieblad!$B$6,IF(D82=informatieblad!$A$7,informatieblad!$B$7,IF(D82=informatieblad!$A$8,informatieblad!$B$8,IF(D82=informatieblad!$A$2,informatieblad!$B$2,IF(D82=informatieblad!$A$3,informatieblad!$B$3,IF(D82=informatieblad!$A$4,informatieblad!$B$4,IF(D82=informatieblad!$A$5,informatieblad!$B$5,"")))))))</f>
        <v/>
      </c>
      <c r="BG83" s="276">
        <f>IF(BD83=BG81,(4*C83),0)</f>
        <v>0</v>
      </c>
      <c r="BH83" s="276">
        <f>IF(BE83=BG81,(4*C83),0)</f>
        <v>0</v>
      </c>
      <c r="BI83" s="276">
        <f>IF(BF83=BG81,(4*C83),0)</f>
        <v>0</v>
      </c>
      <c r="BJ83" s="275">
        <f>IF(BD83=BJ81,(4*C83),0)</f>
        <v>0</v>
      </c>
      <c r="BK83" s="276">
        <f>IF(BE83=BJ81,(4*C83),0)</f>
        <v>0</v>
      </c>
      <c r="BL83" s="274">
        <f>IF(BF83=BJ81,(4*C83),0)</f>
        <v>0</v>
      </c>
    </row>
    <row r="84" spans="1:64" ht="5.0999999999999996" customHeight="1" thickBot="1">
      <c r="A84" s="145"/>
      <c r="B84" s="122"/>
      <c r="C84" s="122"/>
      <c r="D84" s="122"/>
      <c r="E84" s="122"/>
      <c r="F84" s="122"/>
      <c r="G84" s="122"/>
      <c r="H84" s="122"/>
      <c r="I84" s="146"/>
    </row>
    <row r="85" spans="1:64" ht="15" thickBot="1">
      <c r="A85" s="445"/>
      <c r="B85" s="96"/>
      <c r="C85" s="300">
        <f>B85</f>
        <v>0</v>
      </c>
      <c r="D85" s="96"/>
      <c r="E85" s="96"/>
      <c r="F85" s="300">
        <f>(B85&gt;0)*$H$9</f>
        <v>0</v>
      </c>
      <c r="G85" s="300">
        <f>(C85&gt;0)*$H$10</f>
        <v>0</v>
      </c>
      <c r="H85" s="300">
        <f>(D85&gt;0)*$H$11</f>
        <v>0</v>
      </c>
      <c r="I85" s="302">
        <f>(E85&gt;0)*$H$12</f>
        <v>0</v>
      </c>
      <c r="J85" s="345" t="s">
        <v>20</v>
      </c>
      <c r="S85" s="97" t="s">
        <v>14</v>
      </c>
      <c r="T85" s="98" t="s">
        <v>27</v>
      </c>
      <c r="U85" s="98" t="s">
        <v>28</v>
      </c>
      <c r="V85" s="98" t="s">
        <v>27</v>
      </c>
      <c r="W85" s="98" t="s">
        <v>28</v>
      </c>
      <c r="X85" s="98" t="s">
        <v>29</v>
      </c>
      <c r="Y85" s="66" t="s">
        <v>30</v>
      </c>
      <c r="Z85" s="153" t="s">
        <v>31</v>
      </c>
      <c r="AA85" s="153"/>
      <c r="AB85" s="153"/>
      <c r="AC85" s="154" t="s">
        <v>83</v>
      </c>
      <c r="AD85" s="100" t="s">
        <v>83</v>
      </c>
      <c r="AE85" s="100" t="s">
        <v>83</v>
      </c>
      <c r="AF85" s="100" t="s">
        <v>33</v>
      </c>
      <c r="AG85" s="100" t="s">
        <v>34</v>
      </c>
      <c r="AH85" s="98" t="s">
        <v>32</v>
      </c>
      <c r="AI85" s="98" t="s">
        <v>32</v>
      </c>
      <c r="AJ85" s="98" t="s">
        <v>49</v>
      </c>
      <c r="AK85" s="101" t="s">
        <v>36</v>
      </c>
      <c r="AM85" s="97" t="str">
        <f>informatieblad!$A$6</f>
        <v>FL20</v>
      </c>
      <c r="AN85" s="99"/>
      <c r="AO85" s="99"/>
      <c r="AP85" s="97" t="str">
        <f>informatieblad!$A$7</f>
        <v>FL30</v>
      </c>
      <c r="AQ85" s="99"/>
      <c r="AR85" s="66"/>
      <c r="AS85" s="99" t="str">
        <f>informatieblad!$A$8</f>
        <v>FL40</v>
      </c>
      <c r="AT85" s="99"/>
      <c r="AU85" s="66"/>
      <c r="AV85" s="97" t="str">
        <f>informatieblad!$A$5</f>
        <v>none</v>
      </c>
      <c r="AW85" s="99"/>
      <c r="AX85" s="264"/>
      <c r="AY85" s="83"/>
      <c r="AZ85" s="266" t="s">
        <v>17</v>
      </c>
      <c r="BA85" s="131"/>
      <c r="BB85" s="266" t="s">
        <v>37</v>
      </c>
      <c r="BC85" s="131"/>
      <c r="BD85" s="269" t="s">
        <v>38</v>
      </c>
      <c r="BE85" s="272"/>
      <c r="BF85" s="272"/>
      <c r="BG85" s="289">
        <f>informatieblad!$B$3</f>
        <v>0</v>
      </c>
      <c r="BH85" s="272"/>
      <c r="BI85" s="272"/>
      <c r="BJ85" s="289">
        <f>informatieblad!$B$4</f>
        <v>0</v>
      </c>
      <c r="BK85" s="272"/>
      <c r="BL85" s="264"/>
    </row>
    <row r="86" spans="1:64">
      <c r="A86" s="446"/>
      <c r="B86" s="202" t="str">
        <f>IF($C87&gt;0,IF(MAX(B85,E85)&lt;informatieblad!$Q$4,informatieblad!$P$3,IF(MAX(B85,E85)&gt;informatieblad!$R$4,informatieblad!$P$5,informatieblad!$P$4)),"")</f>
        <v/>
      </c>
      <c r="C86" s="202" t="str">
        <f>IF($C87&gt;0,IF(MAX(C85,E85)&lt;informatieblad!$Q$4,informatieblad!$P$3,IF(MAX(C85,E85)&gt;informatieblad!$R$4,informatieblad!$P$5,informatieblad!$P$4)),"")</f>
        <v/>
      </c>
      <c r="D86" s="203" t="str">
        <f>IF($C87&gt;0,IF(MAX(D85,E85)&lt;informatieblad!$Q$4,informatieblad!$P$3,IF(MAX(D85,E85)&gt;informatieblad!$R$4,informatieblad!$P$5,informatieblad!$P$4)),"")</f>
        <v/>
      </c>
      <c r="E86" s="190" t="str">
        <f>A85&amp;"-"&amp;informatieblad!$B$16&amp;"-"&amp;B85&amp;"-"&amp;C85&amp;"-"&amp;D85&amp;"-"&amp;E85&amp;"-"&amp;F85&amp;"-"&amp;G85&amp;"-"&amp;H85&amp;"-"&amp;I85&amp;"-"&amp;B86&amp;"-"&amp;C86&amp;"-"&amp;D86&amp;"-"&amp;G87</f>
        <v>-RctT--0---0-0-0-0----Options None</v>
      </c>
      <c r="F86" s="174"/>
      <c r="G86" s="174"/>
      <c r="H86" s="174"/>
      <c r="I86" s="199"/>
      <c r="J86" s="83"/>
      <c r="S86" s="103">
        <f>A85</f>
        <v>0</v>
      </c>
      <c r="T86" s="104" t="s">
        <v>39</v>
      </c>
      <c r="U86" s="104" t="s">
        <v>39</v>
      </c>
      <c r="V86" s="104" t="s">
        <v>40</v>
      </c>
      <c r="W86" s="104" t="s">
        <v>40</v>
      </c>
      <c r="X86" s="104" t="s">
        <v>40</v>
      </c>
      <c r="Y86" s="105"/>
      <c r="Z86" s="155" t="s">
        <v>27</v>
      </c>
      <c r="AA86" s="155" t="s">
        <v>40</v>
      </c>
      <c r="AB86" s="155" t="s">
        <v>41</v>
      </c>
      <c r="AC86" s="156" t="s">
        <v>107</v>
      </c>
      <c r="AD86" s="104" t="s">
        <v>108</v>
      </c>
      <c r="AE86" s="107" t="s">
        <v>91</v>
      </c>
      <c r="AF86" s="107" t="s">
        <v>44</v>
      </c>
      <c r="AG86" s="107"/>
      <c r="AH86" s="104" t="s">
        <v>40</v>
      </c>
      <c r="AI86" s="104" t="s">
        <v>41</v>
      </c>
      <c r="AJ86" s="108"/>
      <c r="AK86" s="109"/>
      <c r="AM86" s="262" t="str">
        <f>informatieblad!$A$2</f>
        <v>FL20 loose</v>
      </c>
      <c r="AN86" s="263"/>
      <c r="AO86" s="263"/>
      <c r="AP86" s="262" t="str">
        <f>informatieblad!$A$3</f>
        <v>FL30 loose</v>
      </c>
      <c r="AQ86" s="263"/>
      <c r="AR86" s="105"/>
      <c r="AS86" s="263" t="str">
        <f>informatieblad!$A$4</f>
        <v>FL40 loose</v>
      </c>
      <c r="AT86" s="263"/>
      <c r="AU86" s="105"/>
      <c r="AV86" s="265"/>
      <c r="AW86" s="106"/>
      <c r="AX86" s="105"/>
      <c r="AY86" s="83"/>
      <c r="AZ86" s="267"/>
      <c r="BA86" s="83"/>
      <c r="BB86" s="267"/>
      <c r="BC86" s="83"/>
      <c r="BD86" s="265" t="s">
        <v>47</v>
      </c>
      <c r="BE86" s="106" t="s">
        <v>48</v>
      </c>
      <c r="BF86" s="106" t="s">
        <v>48</v>
      </c>
      <c r="BG86" s="290" t="s">
        <v>23</v>
      </c>
      <c r="BH86" s="83" t="s">
        <v>23</v>
      </c>
      <c r="BI86" s="83" t="s">
        <v>23</v>
      </c>
      <c r="BJ86" s="290" t="s">
        <v>23</v>
      </c>
      <c r="BK86" s="83" t="s">
        <v>23</v>
      </c>
      <c r="BL86" s="273" t="s">
        <v>23</v>
      </c>
    </row>
    <row r="87" spans="1:64" ht="15.75" thickBot="1">
      <c r="A87" s="447"/>
      <c r="B87" s="92" t="s">
        <v>23</v>
      </c>
      <c r="C87" s="110"/>
      <c r="D87" s="94">
        <f>C87*U87</f>
        <v>0</v>
      </c>
      <c r="E87" s="141" t="s">
        <v>24</v>
      </c>
      <c r="F87" s="200"/>
      <c r="G87" s="457" t="s">
        <v>25</v>
      </c>
      <c r="H87" s="491"/>
      <c r="I87" s="492"/>
      <c r="J87" s="176"/>
      <c r="S87" s="111"/>
      <c r="T87" s="112">
        <f>(((2*(B85+E85))*(D85+G85+H85+F85))+((2*(D85+E85))*(C85+I85+F85)))/1000000</f>
        <v>0</v>
      </c>
      <c r="U87" s="112">
        <f>((IF(T87&lt;=informatieblad!$I$16,informatieblad!$I$16,IF(T87&gt;=informatieblad!$I$16,T87))))</f>
        <v>0.5</v>
      </c>
      <c r="V87" s="112">
        <f>(((2*(B85+E85))*(D85+G85+H85+F85))+((2*(D85+E85))*(C85+I85+F85)))/1000000</f>
        <v>0</v>
      </c>
      <c r="W87" s="112">
        <f>((IF(V87&lt;=informatieblad!$H$16,informatieblad!$H$16,IF(V87&gt;=informatieblad!$H$16,V87))))</f>
        <v>0</v>
      </c>
      <c r="X87" s="113">
        <f>((W87*AH87)+(W87*AA87))*C87</f>
        <v>0</v>
      </c>
      <c r="Y87" s="114">
        <f>((U87*AI87)+(U87*AB87))*C87</f>
        <v>0</v>
      </c>
      <c r="Z87" s="115" t="str">
        <f>G87</f>
        <v>Options None</v>
      </c>
      <c r="AA87" s="115">
        <f>VLOOKUP(G87,informatieblad!$A$37:$D$41,2,FALSE)</f>
        <v>0</v>
      </c>
      <c r="AB87" s="115">
        <f>VLOOKUP(G87,informatieblad!$A$37:$D$41,4,FALSE)</f>
        <v>0</v>
      </c>
      <c r="AC87" s="180">
        <f>(MAX(J85,K85))</f>
        <v>0</v>
      </c>
      <c r="AD87" s="119">
        <f>(MAX(L85,M85))</f>
        <v>0</v>
      </c>
      <c r="AE87" s="119">
        <f>(MAX(J85,L85))</f>
        <v>0</v>
      </c>
      <c r="AF87" s="119">
        <f>(MAX(B85:E85))</f>
        <v>0</v>
      </c>
      <c r="AG87" s="119">
        <f>LOOKUP(AF87,informatieblad!$C$27:$C$32,informatieblad!$A$27:$A$32)</f>
        <v>0.5</v>
      </c>
      <c r="AH87" s="118">
        <f>VLOOKUP(AG87,informatieblad!$A$27:$M$32,6,FALSE)</f>
        <v>0</v>
      </c>
      <c r="AI87" s="118">
        <f>VLOOKUP(AG87,informatieblad!$A$27:$M$32,8,FALSE)</f>
        <v>45.1248</v>
      </c>
      <c r="AJ87" s="120">
        <f>VLOOKUP(AG87,informatieblad!$A$27:$M$32,13,FALSE)</f>
        <v>4</v>
      </c>
      <c r="AK87" s="121">
        <f>ROUND((AJ87*V87),1)</f>
        <v>0</v>
      </c>
      <c r="AM87" s="111">
        <f>(IF(B86=AM85,((2*B85)+(2*E85)),IF(B86=AM86,((2*B85)+(2*E85)),0)))*C87</f>
        <v>0</v>
      </c>
      <c r="AN87" s="261">
        <f>(IF(C86=AM85,((2*C85)+(2*E85)),IF(C86=AM86,((2*C85)+(2*E85)),0)))*C87</f>
        <v>0</v>
      </c>
      <c r="AO87" s="261">
        <f>(IF(D86=AM85,((2*D85)+(2*E85)),IF(D86=AM86,((2*D85)+(2*E85)),0)))*C87</f>
        <v>0</v>
      </c>
      <c r="AP87" s="111">
        <f>(IF(B86=AP85,((2*B85)+(2*E85)),IF(B86=AP86,((2*B85)+(2*E85)),0)))*C87</f>
        <v>0</v>
      </c>
      <c r="AQ87" s="261">
        <f>(IF(C86=AP85,((2*C85)+(2*E85)),IF(C86=AP86,((2*C85)+(2*E85)),0)))*C87</f>
        <v>0</v>
      </c>
      <c r="AR87" s="260">
        <f>(IF(D86=AP85,((2*D85)+(2*E85)),IF(D86=AP86,((2*D85)+(2*E85)),0)))*C87</f>
        <v>0</v>
      </c>
      <c r="AS87" s="261">
        <f>(IF(B86=AS85,((2*B85)+(2*E85)),IF(B86=AS86,((2*B85)+(2*E85)),0)))*C87</f>
        <v>0</v>
      </c>
      <c r="AT87" s="261">
        <f>(IF(C86=AS85,((2*C85)+(2*E85)),IF(C86=AS86,((2*C85)+(2*E85)),0)))*C87</f>
        <v>0</v>
      </c>
      <c r="AU87" s="260">
        <f>(IF(D86=AS85,((2*D85)+(2*E85)),IF(D86=AS86,((2*D85)+(2*E85)),0)))*C87</f>
        <v>0</v>
      </c>
      <c r="AV87" s="111">
        <f>(IF(B86=AV85,((2*B85)+(2*E85)),0))*C87</f>
        <v>0</v>
      </c>
      <c r="AW87" s="261">
        <f>(IF(C86=AV85,((2*C85)+(2*E85)),0))*C87</f>
        <v>0</v>
      </c>
      <c r="AX87" s="260">
        <f>(IF(D86=AV85,((2*D85)+(2*E85)),0))*C87</f>
        <v>0</v>
      </c>
      <c r="AY87" s="83"/>
      <c r="AZ87" s="268">
        <f>(D85+H73+H73+G85+I85)*C87</f>
        <v>0</v>
      </c>
      <c r="BA87" s="83"/>
      <c r="BB87" s="268">
        <f>(AE87+100)*C87</f>
        <v>0</v>
      </c>
      <c r="BC87" s="83"/>
      <c r="BD87" s="111" t="str">
        <f>IF(B86=informatieblad!$A$6,informatieblad!$B$6,IF(B86=informatieblad!$A$7,informatieblad!$B$7,IF(B86=informatieblad!$A$8,informatieblad!$B$8,IF(B86=informatieblad!$A$2,informatieblad!$B$2,IF(B86=informatieblad!$A$3,informatieblad!$B$3,IF(B86=informatieblad!$A$4,informatieblad!$B$4,IF(B86=informatieblad!$A$5,informatieblad!$B$5,"")))))))</f>
        <v/>
      </c>
      <c r="BE87" s="275" t="str">
        <f>IF(C86=informatieblad!$A$6,informatieblad!$B$6,IF(C86=informatieblad!$A$7,informatieblad!$B$7,IF(C86=informatieblad!$A$8,informatieblad!$B$8,IF(C86=informatieblad!$A$2,informatieblad!$B$2,IF(C86=informatieblad!$A$3,informatieblad!$B$3,IF(C86=informatieblad!$A$4,informatieblad!$B$4,IF(C86=informatieblad!$A$5,informatieblad!$B$5,"")))))))</f>
        <v/>
      </c>
      <c r="BF87" s="276" t="str">
        <f>IF(D86=informatieblad!$A$6,informatieblad!$B$6,IF(D86=informatieblad!$A$7,informatieblad!$B$7,IF(D86=informatieblad!$A$8,informatieblad!$B$8,IF(D86=informatieblad!$A$2,informatieblad!$B$2,IF(D86=informatieblad!$A$3,informatieblad!$B$3,IF(D86=informatieblad!$A$4,informatieblad!$B$4,IF(D86=informatieblad!$A$5,informatieblad!$B$5,"")))))))</f>
        <v/>
      </c>
      <c r="BG87" s="276">
        <f>IF(BD87=BG85,(4*C87),0)</f>
        <v>0</v>
      </c>
      <c r="BH87" s="276">
        <f>IF(BE87=BG85,(4*C87),0)</f>
        <v>0</v>
      </c>
      <c r="BI87" s="276">
        <f>IF(BF87=BG85,(4*C87),0)</f>
        <v>0</v>
      </c>
      <c r="BJ87" s="275">
        <f>IF(BD87=BJ85,(4*C87),0)</f>
        <v>0</v>
      </c>
      <c r="BK87" s="276">
        <f>IF(BE87=BJ85,(4*C87),0)</f>
        <v>0</v>
      </c>
      <c r="BL87" s="274">
        <f>IF(BF87=BJ85,(4*C87),0)</f>
        <v>0</v>
      </c>
    </row>
    <row r="88" spans="1:64" ht="5.0999999999999996" customHeight="1" thickBot="1">
      <c r="A88" s="145"/>
      <c r="B88" s="122"/>
      <c r="C88" s="122"/>
      <c r="D88" s="122"/>
      <c r="E88" s="122"/>
      <c r="F88" s="122"/>
      <c r="G88" s="122"/>
      <c r="H88" s="122"/>
      <c r="I88" s="146"/>
    </row>
    <row r="89" spans="1:64" ht="15" thickBot="1">
      <c r="A89" s="445"/>
      <c r="B89" s="96"/>
      <c r="C89" s="300">
        <f>B89</f>
        <v>0</v>
      </c>
      <c r="D89" s="96"/>
      <c r="E89" s="96"/>
      <c r="F89" s="300">
        <f>(B89&gt;0)*$H$9</f>
        <v>0</v>
      </c>
      <c r="G89" s="300">
        <f>(C89&gt;0)*$H$10</f>
        <v>0</v>
      </c>
      <c r="H89" s="300">
        <f>(D89&gt;0)*$H$11</f>
        <v>0</v>
      </c>
      <c r="I89" s="302">
        <f>(E89&gt;0)*$H$12</f>
        <v>0</v>
      </c>
      <c r="J89" s="345" t="s">
        <v>20</v>
      </c>
      <c r="S89" s="97" t="s">
        <v>14</v>
      </c>
      <c r="T89" s="98" t="s">
        <v>27</v>
      </c>
      <c r="U89" s="98" t="s">
        <v>28</v>
      </c>
      <c r="V89" s="98" t="s">
        <v>27</v>
      </c>
      <c r="W89" s="98" t="s">
        <v>28</v>
      </c>
      <c r="X89" s="98" t="s">
        <v>29</v>
      </c>
      <c r="Y89" s="66" t="s">
        <v>30</v>
      </c>
      <c r="Z89" s="153" t="s">
        <v>31</v>
      </c>
      <c r="AA89" s="153"/>
      <c r="AB89" s="153"/>
      <c r="AC89" s="154" t="s">
        <v>83</v>
      </c>
      <c r="AD89" s="100" t="s">
        <v>83</v>
      </c>
      <c r="AE89" s="100" t="s">
        <v>83</v>
      </c>
      <c r="AF89" s="100" t="s">
        <v>33</v>
      </c>
      <c r="AG89" s="100" t="s">
        <v>34</v>
      </c>
      <c r="AH89" s="98" t="s">
        <v>32</v>
      </c>
      <c r="AI89" s="98" t="s">
        <v>32</v>
      </c>
      <c r="AJ89" s="98" t="s">
        <v>49</v>
      </c>
      <c r="AK89" s="101" t="s">
        <v>36</v>
      </c>
      <c r="AM89" s="97" t="str">
        <f>informatieblad!$A$6</f>
        <v>FL20</v>
      </c>
      <c r="AN89" s="99"/>
      <c r="AO89" s="99"/>
      <c r="AP89" s="97" t="str">
        <f>informatieblad!$A$7</f>
        <v>FL30</v>
      </c>
      <c r="AQ89" s="99"/>
      <c r="AR89" s="66"/>
      <c r="AS89" s="99" t="str">
        <f>informatieblad!$A$8</f>
        <v>FL40</v>
      </c>
      <c r="AT89" s="99"/>
      <c r="AU89" s="66"/>
      <c r="AV89" s="97" t="str">
        <f>informatieblad!$A$5</f>
        <v>none</v>
      </c>
      <c r="AW89" s="99"/>
      <c r="AX89" s="264"/>
      <c r="AY89" s="83"/>
      <c r="AZ89" s="266" t="s">
        <v>17</v>
      </c>
      <c r="BA89" s="131"/>
      <c r="BB89" s="266" t="s">
        <v>37</v>
      </c>
      <c r="BC89" s="131"/>
      <c r="BD89" s="269" t="s">
        <v>38</v>
      </c>
      <c r="BE89" s="272"/>
      <c r="BF89" s="272"/>
      <c r="BG89" s="289">
        <f>informatieblad!$B$3</f>
        <v>0</v>
      </c>
      <c r="BH89" s="272"/>
      <c r="BI89" s="272"/>
      <c r="BJ89" s="289">
        <f>informatieblad!$B$4</f>
        <v>0</v>
      </c>
      <c r="BK89" s="272"/>
      <c r="BL89" s="264"/>
    </row>
    <row r="90" spans="1:64">
      <c r="A90" s="446"/>
      <c r="B90" s="202" t="str">
        <f>IF($C91&gt;0,IF(MAX(B89,E89)&lt;informatieblad!$Q$4,informatieblad!$P$3,IF(MAX(B89,E89)&gt;informatieblad!$R$4,informatieblad!$P$5,informatieblad!$P$4)),"")</f>
        <v/>
      </c>
      <c r="C90" s="202" t="str">
        <f>IF($C91&gt;0,IF(MAX(C89,E89)&lt;informatieblad!$Q$4,informatieblad!$P$3,IF(MAX(C89,E89)&gt;informatieblad!$R$4,informatieblad!$P$5,informatieblad!$P$4)),"")</f>
        <v/>
      </c>
      <c r="D90" s="203" t="str">
        <f>IF($C91&gt;0,IF(MAX(D89,E89)&lt;informatieblad!$Q$4,informatieblad!$P$3,IF(MAX(D89,E89)&gt;informatieblad!$R$4,informatieblad!$P$5,informatieblad!$P$4)),"")</f>
        <v/>
      </c>
      <c r="E90" s="190" t="str">
        <f>A89&amp;"-"&amp;informatieblad!$B$16&amp;"-"&amp;B89&amp;"-"&amp;C89&amp;"-"&amp;D89&amp;"-"&amp;E89&amp;"-"&amp;F89&amp;"-"&amp;G89&amp;"-"&amp;H89&amp;"-"&amp;I89&amp;"-"&amp;B90&amp;"-"&amp;C90&amp;"-"&amp;D90&amp;"-"&amp;G91</f>
        <v>-RctT--0---0-0-0-0----Options None</v>
      </c>
      <c r="F90" s="174"/>
      <c r="G90" s="174"/>
      <c r="H90" s="174"/>
      <c r="I90" s="199"/>
      <c r="J90" s="83"/>
      <c r="S90" s="103">
        <f>A89</f>
        <v>0</v>
      </c>
      <c r="T90" s="104" t="s">
        <v>39</v>
      </c>
      <c r="U90" s="104" t="s">
        <v>39</v>
      </c>
      <c r="V90" s="104" t="s">
        <v>40</v>
      </c>
      <c r="W90" s="104" t="s">
        <v>40</v>
      </c>
      <c r="X90" s="104" t="s">
        <v>40</v>
      </c>
      <c r="Y90" s="105"/>
      <c r="Z90" s="155" t="s">
        <v>27</v>
      </c>
      <c r="AA90" s="155" t="s">
        <v>40</v>
      </c>
      <c r="AB90" s="155" t="s">
        <v>41</v>
      </c>
      <c r="AC90" s="156" t="s">
        <v>107</v>
      </c>
      <c r="AD90" s="104" t="s">
        <v>108</v>
      </c>
      <c r="AE90" s="107" t="s">
        <v>91</v>
      </c>
      <c r="AF90" s="107" t="s">
        <v>44</v>
      </c>
      <c r="AG90" s="107"/>
      <c r="AH90" s="104" t="s">
        <v>40</v>
      </c>
      <c r="AI90" s="104" t="s">
        <v>41</v>
      </c>
      <c r="AJ90" s="108"/>
      <c r="AK90" s="109"/>
      <c r="AM90" s="262" t="str">
        <f>informatieblad!$A$2</f>
        <v>FL20 loose</v>
      </c>
      <c r="AN90" s="263"/>
      <c r="AO90" s="263"/>
      <c r="AP90" s="262" t="str">
        <f>informatieblad!$A$3</f>
        <v>FL30 loose</v>
      </c>
      <c r="AQ90" s="263"/>
      <c r="AR90" s="105"/>
      <c r="AS90" s="263" t="str">
        <f>informatieblad!$A$4</f>
        <v>FL40 loose</v>
      </c>
      <c r="AT90" s="263"/>
      <c r="AU90" s="105"/>
      <c r="AV90" s="265"/>
      <c r="AW90" s="106"/>
      <c r="AX90" s="105"/>
      <c r="AY90" s="83"/>
      <c r="AZ90" s="267"/>
      <c r="BA90" s="83"/>
      <c r="BB90" s="267"/>
      <c r="BC90" s="83"/>
      <c r="BD90" s="265" t="s">
        <v>47</v>
      </c>
      <c r="BE90" s="106" t="s">
        <v>48</v>
      </c>
      <c r="BF90" s="106" t="s">
        <v>48</v>
      </c>
      <c r="BG90" s="290" t="s">
        <v>23</v>
      </c>
      <c r="BH90" s="83" t="s">
        <v>23</v>
      </c>
      <c r="BI90" s="83" t="s">
        <v>23</v>
      </c>
      <c r="BJ90" s="290" t="s">
        <v>23</v>
      </c>
      <c r="BK90" s="83" t="s">
        <v>23</v>
      </c>
      <c r="BL90" s="273" t="s">
        <v>23</v>
      </c>
    </row>
    <row r="91" spans="1:64" ht="15.75" thickBot="1">
      <c r="A91" s="447"/>
      <c r="B91" s="92" t="s">
        <v>23</v>
      </c>
      <c r="C91" s="110"/>
      <c r="D91" s="94">
        <f>C91*U91</f>
        <v>0</v>
      </c>
      <c r="E91" s="141" t="s">
        <v>24</v>
      </c>
      <c r="F91" s="200"/>
      <c r="G91" s="457" t="s">
        <v>25</v>
      </c>
      <c r="H91" s="491"/>
      <c r="I91" s="492"/>
      <c r="J91" s="176"/>
      <c r="S91" s="111"/>
      <c r="T91" s="112">
        <f>(((2*(B89+E89))*(D89+G89+H89+F89))+((2*(D89+E89))*(C89+I89+F89)))/1000000</f>
        <v>0</v>
      </c>
      <c r="U91" s="112">
        <f>((IF(T91&lt;=informatieblad!$I$16,informatieblad!$I$16,IF(T91&gt;=informatieblad!$I$16,T91))))</f>
        <v>0.5</v>
      </c>
      <c r="V91" s="112">
        <f>(((2*(B89+E89))*(D89+G89+H89+F89))+((2*(D89+E89))*(C89+I89+F89)))/1000000</f>
        <v>0</v>
      </c>
      <c r="W91" s="112">
        <f>((IF(V91&lt;=informatieblad!$H$16,informatieblad!$H$16,IF(V91&gt;=informatieblad!$H$16,V91))))</f>
        <v>0</v>
      </c>
      <c r="X91" s="113">
        <f>((W91*AH91)+(W91*AA91))*C91</f>
        <v>0</v>
      </c>
      <c r="Y91" s="114">
        <f>((U91*AI91)+(U91*AB91))*C91</f>
        <v>0</v>
      </c>
      <c r="Z91" s="115" t="str">
        <f>G91</f>
        <v>Options None</v>
      </c>
      <c r="AA91" s="115">
        <f>VLOOKUP(G91,informatieblad!$A$37:$D$41,2,FALSE)</f>
        <v>0</v>
      </c>
      <c r="AB91" s="115">
        <f>VLOOKUP(G91,informatieblad!$A$37:$D$41,4,FALSE)</f>
        <v>0</v>
      </c>
      <c r="AC91" s="180">
        <f>(MAX(J89,K89))</f>
        <v>0</v>
      </c>
      <c r="AD91" s="119">
        <f>(MAX(L89,M89))</f>
        <v>0</v>
      </c>
      <c r="AE91" s="119">
        <f>(MAX(J89,L89))</f>
        <v>0</v>
      </c>
      <c r="AF91" s="119">
        <f>(MAX(B89:E89))</f>
        <v>0</v>
      </c>
      <c r="AG91" s="119">
        <f>LOOKUP(AF91,informatieblad!$C$27:$C$32,informatieblad!$A$27:$A$32)</f>
        <v>0.5</v>
      </c>
      <c r="AH91" s="118">
        <f>VLOOKUP(AG91,informatieblad!$A$27:$M$32,6,FALSE)</f>
        <v>0</v>
      </c>
      <c r="AI91" s="118">
        <f>VLOOKUP(AG91,informatieblad!$A$27:$M$32,8,FALSE)</f>
        <v>45.1248</v>
      </c>
      <c r="AJ91" s="120">
        <f>VLOOKUP(AG91,informatieblad!$A$27:$M$32,13,FALSE)</f>
        <v>4</v>
      </c>
      <c r="AK91" s="121">
        <f>ROUND((AJ91*V91),1)</f>
        <v>0</v>
      </c>
      <c r="AM91" s="111">
        <f>(IF(B90=AM89,((2*B89)+(2*E89)),IF(B90=AM90,((2*B89)+(2*E89)),0)))*C91</f>
        <v>0</v>
      </c>
      <c r="AN91" s="261">
        <f>(IF(C90=AM89,((2*C89)+(2*E89)),IF(C90=AM90,((2*C89)+(2*E89)),0)))*C91</f>
        <v>0</v>
      </c>
      <c r="AO91" s="261">
        <f>(IF(D90=AM89,((2*D89)+(2*E89)),IF(D90=AM90,((2*D89)+(2*E89)),0)))*C91</f>
        <v>0</v>
      </c>
      <c r="AP91" s="111">
        <f>(IF(B90=AP89,((2*B89)+(2*E89)),IF(B90=AP90,((2*B89)+(2*E89)),0)))*C91</f>
        <v>0</v>
      </c>
      <c r="AQ91" s="261">
        <f>(IF(C90=AP89,((2*C89)+(2*E89)),IF(C90=AP90,((2*C89)+(2*E89)),0)))*C91</f>
        <v>0</v>
      </c>
      <c r="AR91" s="260">
        <f>(IF(D90=AP89,((2*D89)+(2*E89)),IF(D90=AP90,((2*D89)+(2*E89)),0)))*C91</f>
        <v>0</v>
      </c>
      <c r="AS91" s="261">
        <f>(IF(B90=AS89,((2*B89)+(2*E89)),IF(B90=AS90,((2*B89)+(2*E89)),0)))*C91</f>
        <v>0</v>
      </c>
      <c r="AT91" s="261">
        <f>(IF(C90=AS89,((2*C89)+(2*E89)),IF(C90=AS90,((2*C89)+(2*E89)),0)))*C91</f>
        <v>0</v>
      </c>
      <c r="AU91" s="260">
        <f>(IF(D90=AS89,((2*D89)+(2*E89)),IF(D90=AS90,((2*D89)+(2*E89)),0)))*C91</f>
        <v>0</v>
      </c>
      <c r="AV91" s="111">
        <f>(IF(B90=AV89,((2*B89)+(2*E89)),0))*C91</f>
        <v>0</v>
      </c>
      <c r="AW91" s="261">
        <f>(IF(C90=AV89,((2*C89)+(2*E89)),0))*C91</f>
        <v>0</v>
      </c>
      <c r="AX91" s="260">
        <f>(IF(D90=AV89,((2*D89)+(2*E89)),0))*C91</f>
        <v>0</v>
      </c>
      <c r="AY91" s="83"/>
      <c r="AZ91" s="268">
        <f>(D89+H77+H77+G89+I89)*C91</f>
        <v>0</v>
      </c>
      <c r="BA91" s="83"/>
      <c r="BB91" s="268">
        <f>(AE91+100)*C91</f>
        <v>0</v>
      </c>
      <c r="BC91" s="83"/>
      <c r="BD91" s="111" t="str">
        <f>IF(B90=informatieblad!$A$6,informatieblad!$B$6,IF(B90=informatieblad!$A$7,informatieblad!$B$7,IF(B90=informatieblad!$A$8,informatieblad!$B$8,IF(B90=informatieblad!$A$2,informatieblad!$B$2,IF(B90=informatieblad!$A$3,informatieblad!$B$3,IF(B90=informatieblad!$A$4,informatieblad!$B$4,IF(B90=informatieblad!$A$5,informatieblad!$B$5,"")))))))</f>
        <v/>
      </c>
      <c r="BE91" s="275" t="str">
        <f>IF(C90=informatieblad!$A$6,informatieblad!$B$6,IF(C90=informatieblad!$A$7,informatieblad!$B$7,IF(C90=informatieblad!$A$8,informatieblad!$B$8,IF(C90=informatieblad!$A$2,informatieblad!$B$2,IF(C90=informatieblad!$A$3,informatieblad!$B$3,IF(C90=informatieblad!$A$4,informatieblad!$B$4,IF(C90=informatieblad!$A$5,informatieblad!$B$5,"")))))))</f>
        <v/>
      </c>
      <c r="BF91" s="276" t="str">
        <f>IF(D90=informatieblad!$A$6,informatieblad!$B$6,IF(D90=informatieblad!$A$7,informatieblad!$B$7,IF(D90=informatieblad!$A$8,informatieblad!$B$8,IF(D90=informatieblad!$A$2,informatieblad!$B$2,IF(D90=informatieblad!$A$3,informatieblad!$B$3,IF(D90=informatieblad!$A$4,informatieblad!$B$4,IF(D90=informatieblad!$A$5,informatieblad!$B$5,"")))))))</f>
        <v/>
      </c>
      <c r="BG91" s="276">
        <f>IF(BD91=BG89,(4*C91),0)</f>
        <v>0</v>
      </c>
      <c r="BH91" s="276">
        <f>IF(BE91=BG89,(4*C91),0)</f>
        <v>0</v>
      </c>
      <c r="BI91" s="276">
        <f>IF(BF91=BG89,(4*C91),0)</f>
        <v>0</v>
      </c>
      <c r="BJ91" s="275">
        <f>IF(BD91=BJ89,(4*C91),0)</f>
        <v>0</v>
      </c>
      <c r="BK91" s="276">
        <f>IF(BE91=BJ89,(4*C91),0)</f>
        <v>0</v>
      </c>
      <c r="BL91" s="274">
        <f>IF(BF91=BJ89,(4*C91),0)</f>
        <v>0</v>
      </c>
    </row>
    <row r="92" spans="1:64" ht="5.0999999999999996" customHeight="1" thickBot="1">
      <c r="A92" s="145"/>
      <c r="B92" s="122"/>
      <c r="C92" s="122"/>
      <c r="D92" s="122"/>
      <c r="E92" s="122"/>
      <c r="F92" s="122"/>
      <c r="G92" s="122"/>
      <c r="H92" s="122"/>
      <c r="I92" s="146"/>
    </row>
    <row r="93" spans="1:64" ht="14.25" customHeight="1" thickBot="1">
      <c r="A93" s="445"/>
      <c r="B93" s="96"/>
      <c r="C93" s="300">
        <f>B93</f>
        <v>0</v>
      </c>
      <c r="D93" s="96"/>
      <c r="E93" s="96"/>
      <c r="F93" s="300">
        <f>(B93&gt;0)*$H$9</f>
        <v>0</v>
      </c>
      <c r="G93" s="300">
        <f>(C93&gt;0)*$H$10</f>
        <v>0</v>
      </c>
      <c r="H93" s="300">
        <f>(D93&gt;0)*$H$11</f>
        <v>0</v>
      </c>
      <c r="I93" s="302">
        <f>(E93&gt;0)*$H$12</f>
        <v>0</v>
      </c>
      <c r="J93" s="345" t="s">
        <v>20</v>
      </c>
      <c r="S93" s="97" t="s">
        <v>14</v>
      </c>
      <c r="T93" s="98" t="s">
        <v>27</v>
      </c>
      <c r="U93" s="98" t="s">
        <v>28</v>
      </c>
      <c r="V93" s="98" t="s">
        <v>27</v>
      </c>
      <c r="W93" s="98" t="s">
        <v>28</v>
      </c>
      <c r="X93" s="98" t="s">
        <v>29</v>
      </c>
      <c r="Y93" s="66" t="s">
        <v>30</v>
      </c>
      <c r="Z93" s="153" t="s">
        <v>31</v>
      </c>
      <c r="AA93" s="153"/>
      <c r="AB93" s="153"/>
      <c r="AC93" s="154" t="s">
        <v>83</v>
      </c>
      <c r="AD93" s="100" t="s">
        <v>83</v>
      </c>
      <c r="AE93" s="100" t="s">
        <v>83</v>
      </c>
      <c r="AF93" s="100" t="s">
        <v>33</v>
      </c>
      <c r="AG93" s="100" t="s">
        <v>34</v>
      </c>
      <c r="AH93" s="98" t="s">
        <v>32</v>
      </c>
      <c r="AI93" s="98" t="s">
        <v>32</v>
      </c>
      <c r="AJ93" s="98" t="s">
        <v>50</v>
      </c>
      <c r="AK93" s="101" t="s">
        <v>36</v>
      </c>
      <c r="AM93" s="97" t="str">
        <f>informatieblad!$A$6</f>
        <v>FL20</v>
      </c>
      <c r="AN93" s="99"/>
      <c r="AO93" s="99"/>
      <c r="AP93" s="97" t="str">
        <f>informatieblad!$A$7</f>
        <v>FL30</v>
      </c>
      <c r="AQ93" s="99"/>
      <c r="AR93" s="66"/>
      <c r="AS93" s="99" t="str">
        <f>informatieblad!$A$8</f>
        <v>FL40</v>
      </c>
      <c r="AT93" s="99"/>
      <c r="AU93" s="66"/>
      <c r="AV93" s="97" t="str">
        <f>informatieblad!$A$5</f>
        <v>none</v>
      </c>
      <c r="AW93" s="99"/>
      <c r="AX93" s="264"/>
      <c r="AY93" s="83"/>
      <c r="AZ93" s="266" t="s">
        <v>17</v>
      </c>
      <c r="BA93" s="131"/>
      <c r="BB93" s="266" t="s">
        <v>37</v>
      </c>
      <c r="BC93" s="131"/>
      <c r="BD93" s="269" t="s">
        <v>38</v>
      </c>
      <c r="BE93" s="272"/>
      <c r="BF93" s="272"/>
      <c r="BG93" s="289">
        <f>informatieblad!$B$3</f>
        <v>0</v>
      </c>
      <c r="BH93" s="272"/>
      <c r="BI93" s="272"/>
      <c r="BJ93" s="289">
        <f>informatieblad!$B$4</f>
        <v>0</v>
      </c>
      <c r="BK93" s="272"/>
      <c r="BL93" s="264"/>
    </row>
    <row r="94" spans="1:64" ht="14.25" customHeight="1">
      <c r="A94" s="446"/>
      <c r="B94" s="202" t="str">
        <f>IF($C95&gt;0,IF(MAX(B93,E93)&lt;informatieblad!$Q$4,informatieblad!$P$3,IF(MAX(B93,E93)&gt;informatieblad!$R$4,informatieblad!$P$5,informatieblad!$P$4)),"")</f>
        <v/>
      </c>
      <c r="C94" s="202" t="str">
        <f>IF($C95&gt;0,IF(MAX(C93,E93)&lt;informatieblad!$Q$4,informatieblad!$P$3,IF(MAX(C93,E93)&gt;informatieblad!$R$4,informatieblad!$P$5,informatieblad!$P$4)),"")</f>
        <v/>
      </c>
      <c r="D94" s="203" t="str">
        <f>IF($C95&gt;0,IF(MAX(D93,E93)&lt;informatieblad!$Q$4,informatieblad!$P$3,IF(MAX(D93,E93)&gt;informatieblad!$R$4,informatieblad!$P$5,informatieblad!$P$4)),"")</f>
        <v/>
      </c>
      <c r="E94" s="190" t="str">
        <f>A93&amp;"-"&amp;informatieblad!$B$16&amp;"-"&amp;B93&amp;"-"&amp;C93&amp;"-"&amp;D93&amp;"-"&amp;E93&amp;"-"&amp;F93&amp;"-"&amp;G93&amp;"-"&amp;H93&amp;"-"&amp;I93&amp;"-"&amp;B94&amp;"-"&amp;C94&amp;"-"&amp;D94&amp;"-"&amp;G95</f>
        <v>-RctT--0---0-0-0-0----Options None</v>
      </c>
      <c r="F94" s="174"/>
      <c r="G94" s="174"/>
      <c r="H94" s="174"/>
      <c r="I94" s="199"/>
      <c r="J94" s="83"/>
      <c r="S94" s="103">
        <f>A93</f>
        <v>0</v>
      </c>
      <c r="T94" s="104" t="s">
        <v>39</v>
      </c>
      <c r="U94" s="104" t="s">
        <v>39</v>
      </c>
      <c r="V94" s="104" t="s">
        <v>40</v>
      </c>
      <c r="W94" s="104" t="s">
        <v>40</v>
      </c>
      <c r="X94" s="104" t="s">
        <v>40</v>
      </c>
      <c r="Y94" s="105"/>
      <c r="Z94" s="155" t="s">
        <v>27</v>
      </c>
      <c r="AA94" s="155" t="s">
        <v>40</v>
      </c>
      <c r="AB94" s="155" t="s">
        <v>41</v>
      </c>
      <c r="AC94" s="156" t="s">
        <v>109</v>
      </c>
      <c r="AD94" s="104" t="s">
        <v>110</v>
      </c>
      <c r="AE94" s="107" t="s">
        <v>95</v>
      </c>
      <c r="AF94" s="107" t="s">
        <v>44</v>
      </c>
      <c r="AG94" s="107"/>
      <c r="AH94" s="104" t="s">
        <v>40</v>
      </c>
      <c r="AI94" s="104" t="s">
        <v>41</v>
      </c>
      <c r="AJ94" s="108"/>
      <c r="AK94" s="109"/>
      <c r="AM94" s="262" t="str">
        <f>informatieblad!$A$2</f>
        <v>FL20 loose</v>
      </c>
      <c r="AN94" s="263"/>
      <c r="AO94" s="263"/>
      <c r="AP94" s="262" t="str">
        <f>informatieblad!$A$3</f>
        <v>FL30 loose</v>
      </c>
      <c r="AQ94" s="263"/>
      <c r="AR94" s="105"/>
      <c r="AS94" s="263" t="str">
        <f>informatieblad!$A$4</f>
        <v>FL40 loose</v>
      </c>
      <c r="AT94" s="263"/>
      <c r="AU94" s="105"/>
      <c r="AV94" s="265"/>
      <c r="AW94" s="106"/>
      <c r="AX94" s="105"/>
      <c r="AY94" s="83"/>
      <c r="AZ94" s="267"/>
      <c r="BA94" s="83"/>
      <c r="BB94" s="267"/>
      <c r="BC94" s="83"/>
      <c r="BD94" s="265" t="s">
        <v>47</v>
      </c>
      <c r="BE94" s="106" t="s">
        <v>48</v>
      </c>
      <c r="BF94" s="106" t="s">
        <v>48</v>
      </c>
      <c r="BG94" s="290" t="s">
        <v>23</v>
      </c>
      <c r="BH94" s="83" t="s">
        <v>23</v>
      </c>
      <c r="BI94" s="83" t="s">
        <v>23</v>
      </c>
      <c r="BJ94" s="290" t="s">
        <v>23</v>
      </c>
      <c r="BK94" s="83" t="s">
        <v>23</v>
      </c>
      <c r="BL94" s="273" t="s">
        <v>23</v>
      </c>
    </row>
    <row r="95" spans="1:64" ht="15" customHeight="1" thickBot="1">
      <c r="A95" s="447"/>
      <c r="B95" s="92" t="s">
        <v>23</v>
      </c>
      <c r="C95" s="110"/>
      <c r="D95" s="94">
        <f>C95*U95</f>
        <v>0</v>
      </c>
      <c r="E95" s="141" t="s">
        <v>24</v>
      </c>
      <c r="F95" s="200"/>
      <c r="G95" s="457" t="s">
        <v>25</v>
      </c>
      <c r="H95" s="491"/>
      <c r="I95" s="492"/>
      <c r="J95" s="176"/>
      <c r="S95" s="111"/>
      <c r="T95" s="112">
        <f>(((2*(B93+E93))*(D93+G93+H93+F93))+((2*(D93+E93))*(C93+I93+F93)))/1000000</f>
        <v>0</v>
      </c>
      <c r="U95" s="112">
        <f>((IF(T95&lt;=informatieblad!$I$16,informatieblad!$I$16,IF(T95&gt;=informatieblad!$I$16,T95))))</f>
        <v>0.5</v>
      </c>
      <c r="V95" s="112">
        <f>(((2*(B93+E93))*(D93+G93+H93+F93))+((2*(D93+E93))*(C93+I93+F93)))/1000000</f>
        <v>0</v>
      </c>
      <c r="W95" s="112">
        <f>((IF(V95&lt;=informatieblad!$H$16,informatieblad!$H$16,IF(V95&gt;=informatieblad!$H$16,V95))))</f>
        <v>0</v>
      </c>
      <c r="X95" s="113">
        <f>((W95*AH95)+(W95*AA95))*C95</f>
        <v>0</v>
      </c>
      <c r="Y95" s="114">
        <f>((U95*AI95)+(U95*AB95))*C95</f>
        <v>0</v>
      </c>
      <c r="Z95" s="115" t="str">
        <f>G95</f>
        <v>Options None</v>
      </c>
      <c r="AA95" s="115">
        <f>VLOOKUP(G95,informatieblad!$A$37:$D$41,2,FALSE)</f>
        <v>0</v>
      </c>
      <c r="AB95" s="115">
        <f>VLOOKUP(G95,informatieblad!$A$37:$D$41,4,FALSE)</f>
        <v>0</v>
      </c>
      <c r="AC95" s="180">
        <f>(MAX(J93,K93))</f>
        <v>0</v>
      </c>
      <c r="AD95" s="119">
        <f>(MAX(L93,M93))</f>
        <v>0</v>
      </c>
      <c r="AE95" s="119">
        <f>(MAX(J93,L93))</f>
        <v>0</v>
      </c>
      <c r="AF95" s="119">
        <f>(MAX(B93:E93))</f>
        <v>0</v>
      </c>
      <c r="AG95" s="119">
        <f>LOOKUP(AF95,informatieblad!$C$27:$C$32,informatieblad!$A$27:$A$32)</f>
        <v>0.5</v>
      </c>
      <c r="AH95" s="118">
        <f>VLOOKUP(AG95,informatieblad!$A$27:$M$32,6,FALSE)</f>
        <v>0</v>
      </c>
      <c r="AI95" s="118">
        <f>VLOOKUP(AG95,informatieblad!$A$27:$M$32,8,FALSE)</f>
        <v>45.1248</v>
      </c>
      <c r="AJ95" s="120">
        <f>VLOOKUP(AG95,informatieblad!$A$27:$M$32,13,FALSE)</f>
        <v>4</v>
      </c>
      <c r="AK95" s="121">
        <f>ROUND((AJ95*V95),1)</f>
        <v>0</v>
      </c>
      <c r="AM95" s="111">
        <f>(IF(B94=AM93,((2*B93)+(2*E93)),IF(B94=AM94,((2*B93)+(2*E93)),0)))*C95</f>
        <v>0</v>
      </c>
      <c r="AN95" s="261">
        <f>(IF(C94=AM93,((2*C93)+(2*E93)),IF(C94=AM94,((2*C93)+(2*E93)),0)))*C95</f>
        <v>0</v>
      </c>
      <c r="AO95" s="261">
        <f>(IF(D94=AM93,((2*D93)+(2*E93)),IF(D94=AM94,((2*D93)+(2*E93)),0)))*C95</f>
        <v>0</v>
      </c>
      <c r="AP95" s="111">
        <f>(IF(B94=AP93,((2*B93)+(2*E93)),IF(B94=AP94,((2*B93)+(2*E93)),0)))*C95</f>
        <v>0</v>
      </c>
      <c r="AQ95" s="261">
        <f>(IF(C94=AP93,((2*C93)+(2*E93)),IF(C94=AP94,((2*C93)+(2*E93)),0)))*C95</f>
        <v>0</v>
      </c>
      <c r="AR95" s="260">
        <f>(IF(D94=AP93,((2*D93)+(2*E93)),IF(D94=AP94,((2*D93)+(2*E93)),0)))*C95</f>
        <v>0</v>
      </c>
      <c r="AS95" s="261">
        <f>(IF(B94=AS93,((2*B93)+(2*E93)),IF(B94=AS94,((2*B93)+(2*E93)),0)))*C95</f>
        <v>0</v>
      </c>
      <c r="AT95" s="261">
        <f>(IF(C94=AS93,((2*C93)+(2*E93)),IF(C94=AS94,((2*C93)+(2*E93)),0)))*C95</f>
        <v>0</v>
      </c>
      <c r="AU95" s="260">
        <f>(IF(D94=AS93,((2*D93)+(2*E93)),IF(D94=AS94,((2*D93)+(2*E93)),0)))*C95</f>
        <v>0</v>
      </c>
      <c r="AV95" s="111">
        <f>(IF(B94=AV93,((2*B93)+(2*E93)),0))*C95</f>
        <v>0</v>
      </c>
      <c r="AW95" s="261">
        <f>(IF(C94=AV93,((2*C93)+(2*E93)),0))*C95</f>
        <v>0</v>
      </c>
      <c r="AX95" s="260">
        <f>(IF(D94=AV93,((2*D93)+(2*E93)),0))*C95</f>
        <v>0</v>
      </c>
      <c r="AY95" s="83"/>
      <c r="AZ95" s="268">
        <f>(D93+H81+H81+G93+I93)*C95</f>
        <v>0</v>
      </c>
      <c r="BA95" s="83"/>
      <c r="BB95" s="268">
        <f>(AE95+100)*C95</f>
        <v>0</v>
      </c>
      <c r="BC95" s="83"/>
      <c r="BD95" s="111" t="str">
        <f>IF(B94=informatieblad!$A$6,informatieblad!$B$6,IF(B94=informatieblad!$A$7,informatieblad!$B$7,IF(B94=informatieblad!$A$8,informatieblad!$B$8,IF(B94=informatieblad!$A$2,informatieblad!$B$2,IF(B94=informatieblad!$A$3,informatieblad!$B$3,IF(B94=informatieblad!$A$4,informatieblad!$B$4,IF(B94=informatieblad!$A$5,informatieblad!$B$5,"")))))))</f>
        <v/>
      </c>
      <c r="BE95" s="275" t="str">
        <f>IF(C94=informatieblad!$A$6,informatieblad!$B$6,IF(C94=informatieblad!$A$7,informatieblad!$B$7,IF(C94=informatieblad!$A$8,informatieblad!$B$8,IF(C94=informatieblad!$A$2,informatieblad!$B$2,IF(C94=informatieblad!$A$3,informatieblad!$B$3,IF(C94=informatieblad!$A$4,informatieblad!$B$4,IF(C94=informatieblad!$A$5,informatieblad!$B$5,"")))))))</f>
        <v/>
      </c>
      <c r="BF95" s="276" t="str">
        <f>IF(D94=informatieblad!$A$6,informatieblad!$B$6,IF(D94=informatieblad!$A$7,informatieblad!$B$7,IF(D94=informatieblad!$A$8,informatieblad!$B$8,IF(D94=informatieblad!$A$2,informatieblad!$B$2,IF(D94=informatieblad!$A$3,informatieblad!$B$3,IF(D94=informatieblad!$A$4,informatieblad!$B$4,IF(D94=informatieblad!$A$5,informatieblad!$B$5,"")))))))</f>
        <v/>
      </c>
      <c r="BG95" s="276">
        <f>IF(BD95=BG93,(4*C95),0)</f>
        <v>0</v>
      </c>
      <c r="BH95" s="276">
        <f>IF(BE95=BG93,(4*C95),0)</f>
        <v>0</v>
      </c>
      <c r="BI95" s="276">
        <f>IF(BF95=BG93,(4*C95),0)</f>
        <v>0</v>
      </c>
      <c r="BJ95" s="275">
        <f>IF(BD95=BJ93,(4*C95),0)</f>
        <v>0</v>
      </c>
      <c r="BK95" s="276">
        <f>IF(BE95=BJ93,(4*C95),0)</f>
        <v>0</v>
      </c>
      <c r="BL95" s="274">
        <f>IF(BF95=BJ93,(4*C95),0)</f>
        <v>0</v>
      </c>
    </row>
    <row r="96" spans="1:64" ht="5.0999999999999996" customHeight="1" thickBot="1">
      <c r="A96" s="145"/>
      <c r="B96" s="122"/>
      <c r="C96" s="122"/>
      <c r="D96" s="122"/>
      <c r="E96" s="122"/>
      <c r="F96" s="122"/>
      <c r="G96" s="122"/>
      <c r="H96" s="122"/>
      <c r="I96" s="146"/>
    </row>
    <row r="97" spans="1:64" ht="14.25" customHeight="1" thickBot="1">
      <c r="A97" s="445"/>
      <c r="B97" s="96"/>
      <c r="C97" s="300">
        <f>B97</f>
        <v>0</v>
      </c>
      <c r="D97" s="96"/>
      <c r="E97" s="96"/>
      <c r="F97" s="300">
        <f>(B97&gt;0)*$H$9</f>
        <v>0</v>
      </c>
      <c r="G97" s="300">
        <f>(C97&gt;0)*$H$10</f>
        <v>0</v>
      </c>
      <c r="H97" s="300">
        <f>(D97&gt;0)*$H$11</f>
        <v>0</v>
      </c>
      <c r="I97" s="302">
        <f>(E97&gt;0)*$H$12</f>
        <v>0</v>
      </c>
      <c r="J97" s="345" t="s">
        <v>20</v>
      </c>
      <c r="S97" s="97" t="s">
        <v>14</v>
      </c>
      <c r="T97" s="98" t="s">
        <v>27</v>
      </c>
      <c r="U97" s="98" t="s">
        <v>28</v>
      </c>
      <c r="V97" s="98" t="s">
        <v>27</v>
      </c>
      <c r="W97" s="98" t="s">
        <v>28</v>
      </c>
      <c r="X97" s="98" t="s">
        <v>29</v>
      </c>
      <c r="Y97" s="66" t="s">
        <v>30</v>
      </c>
      <c r="Z97" s="153" t="s">
        <v>31</v>
      </c>
      <c r="AA97" s="153"/>
      <c r="AB97" s="153"/>
      <c r="AC97" s="154" t="s">
        <v>83</v>
      </c>
      <c r="AD97" s="100" t="s">
        <v>83</v>
      </c>
      <c r="AE97" s="100" t="s">
        <v>83</v>
      </c>
      <c r="AF97" s="100" t="s">
        <v>33</v>
      </c>
      <c r="AG97" s="100" t="s">
        <v>34</v>
      </c>
      <c r="AH97" s="98" t="s">
        <v>32</v>
      </c>
      <c r="AI97" s="98" t="s">
        <v>32</v>
      </c>
      <c r="AJ97" s="98" t="s">
        <v>50</v>
      </c>
      <c r="AK97" s="101" t="s">
        <v>36</v>
      </c>
      <c r="AM97" s="97" t="str">
        <f>informatieblad!$A$6</f>
        <v>FL20</v>
      </c>
      <c r="AN97" s="99"/>
      <c r="AO97" s="99"/>
      <c r="AP97" s="97" t="str">
        <f>informatieblad!$A$7</f>
        <v>FL30</v>
      </c>
      <c r="AQ97" s="99"/>
      <c r="AR97" s="66"/>
      <c r="AS97" s="99" t="str">
        <f>informatieblad!$A$8</f>
        <v>FL40</v>
      </c>
      <c r="AT97" s="99"/>
      <c r="AU97" s="66"/>
      <c r="AV97" s="97" t="str">
        <f>informatieblad!$A$5</f>
        <v>none</v>
      </c>
      <c r="AW97" s="99"/>
      <c r="AX97" s="264"/>
      <c r="AY97" s="83"/>
      <c r="AZ97" s="266" t="s">
        <v>17</v>
      </c>
      <c r="BA97" s="131"/>
      <c r="BB97" s="266" t="s">
        <v>37</v>
      </c>
      <c r="BC97" s="131"/>
      <c r="BD97" s="269" t="s">
        <v>38</v>
      </c>
      <c r="BE97" s="272"/>
      <c r="BF97" s="272"/>
      <c r="BG97" s="289">
        <f>informatieblad!$B$3</f>
        <v>0</v>
      </c>
      <c r="BH97" s="272"/>
      <c r="BI97" s="272"/>
      <c r="BJ97" s="289">
        <f>informatieblad!$B$4</f>
        <v>0</v>
      </c>
      <c r="BK97" s="272"/>
      <c r="BL97" s="264"/>
    </row>
    <row r="98" spans="1:64" ht="14.25" customHeight="1">
      <c r="A98" s="446"/>
      <c r="B98" s="202" t="str">
        <f>IF($C99&gt;0,IF(MAX(B97,E97)&lt;informatieblad!$Q$4,informatieblad!$P$3,IF(MAX(B97,E97)&gt;informatieblad!$R$4,informatieblad!$P$5,informatieblad!$P$4)),"")</f>
        <v/>
      </c>
      <c r="C98" s="202" t="str">
        <f>IF($C99&gt;0,IF(MAX(C97,E97)&lt;informatieblad!$Q$4,informatieblad!$P$3,IF(MAX(C97,E97)&gt;informatieblad!$R$4,informatieblad!$P$5,informatieblad!$P$4)),"")</f>
        <v/>
      </c>
      <c r="D98" s="203" t="str">
        <f>IF($C99&gt;0,IF(MAX(D97,E97)&lt;informatieblad!$Q$4,informatieblad!$P$3,IF(MAX(D97,E97)&gt;informatieblad!$R$4,informatieblad!$P$5,informatieblad!$P$4)),"")</f>
        <v/>
      </c>
      <c r="E98" s="190" t="str">
        <f>A97&amp;"-"&amp;informatieblad!$B$16&amp;"-"&amp;B97&amp;"-"&amp;C97&amp;"-"&amp;D97&amp;"-"&amp;E97&amp;"-"&amp;F97&amp;"-"&amp;G97&amp;"-"&amp;H97&amp;"-"&amp;I97&amp;"-"&amp;B98&amp;"-"&amp;C98&amp;"-"&amp;D98&amp;"-"&amp;G99</f>
        <v>-RctT--0---0-0-0-0----Options None</v>
      </c>
      <c r="F98" s="174"/>
      <c r="G98" s="174"/>
      <c r="H98" s="174"/>
      <c r="I98" s="199"/>
      <c r="J98" s="83"/>
      <c r="S98" s="103">
        <f>A97</f>
        <v>0</v>
      </c>
      <c r="T98" s="104" t="s">
        <v>39</v>
      </c>
      <c r="U98" s="104" t="s">
        <v>39</v>
      </c>
      <c r="V98" s="104" t="s">
        <v>40</v>
      </c>
      <c r="W98" s="104" t="s">
        <v>40</v>
      </c>
      <c r="X98" s="104" t="s">
        <v>40</v>
      </c>
      <c r="Y98" s="105"/>
      <c r="Z98" s="155" t="s">
        <v>27</v>
      </c>
      <c r="AA98" s="155" t="s">
        <v>40</v>
      </c>
      <c r="AB98" s="155" t="s">
        <v>41</v>
      </c>
      <c r="AC98" s="156" t="s">
        <v>109</v>
      </c>
      <c r="AD98" s="104" t="s">
        <v>110</v>
      </c>
      <c r="AE98" s="107" t="s">
        <v>95</v>
      </c>
      <c r="AF98" s="107" t="s">
        <v>44</v>
      </c>
      <c r="AG98" s="107"/>
      <c r="AH98" s="104" t="s">
        <v>40</v>
      </c>
      <c r="AI98" s="104" t="s">
        <v>41</v>
      </c>
      <c r="AJ98" s="108"/>
      <c r="AK98" s="109"/>
      <c r="AM98" s="262" t="str">
        <f>informatieblad!$A$2</f>
        <v>FL20 loose</v>
      </c>
      <c r="AN98" s="263"/>
      <c r="AO98" s="263"/>
      <c r="AP98" s="262" t="str">
        <f>informatieblad!$A$3</f>
        <v>FL30 loose</v>
      </c>
      <c r="AQ98" s="263"/>
      <c r="AR98" s="105"/>
      <c r="AS98" s="263" t="str">
        <f>informatieblad!$A$4</f>
        <v>FL40 loose</v>
      </c>
      <c r="AT98" s="263"/>
      <c r="AU98" s="105"/>
      <c r="AV98" s="265"/>
      <c r="AW98" s="106"/>
      <c r="AX98" s="105"/>
      <c r="AY98" s="83"/>
      <c r="AZ98" s="267"/>
      <c r="BA98" s="83"/>
      <c r="BB98" s="267"/>
      <c r="BC98" s="83"/>
      <c r="BD98" s="265" t="s">
        <v>47</v>
      </c>
      <c r="BE98" s="106" t="s">
        <v>48</v>
      </c>
      <c r="BF98" s="106" t="s">
        <v>48</v>
      </c>
      <c r="BG98" s="290" t="s">
        <v>23</v>
      </c>
      <c r="BH98" s="83" t="s">
        <v>23</v>
      </c>
      <c r="BI98" s="83" t="s">
        <v>23</v>
      </c>
      <c r="BJ98" s="290" t="s">
        <v>23</v>
      </c>
      <c r="BK98" s="83" t="s">
        <v>23</v>
      </c>
      <c r="BL98" s="273" t="s">
        <v>23</v>
      </c>
    </row>
    <row r="99" spans="1:64" ht="15" customHeight="1" thickBot="1">
      <c r="A99" s="447"/>
      <c r="B99" s="92" t="s">
        <v>23</v>
      </c>
      <c r="C99" s="110"/>
      <c r="D99" s="94">
        <f>C99*U99</f>
        <v>0</v>
      </c>
      <c r="E99" s="141" t="s">
        <v>24</v>
      </c>
      <c r="F99" s="200"/>
      <c r="G99" s="457" t="s">
        <v>25</v>
      </c>
      <c r="H99" s="491"/>
      <c r="I99" s="492"/>
      <c r="J99" s="176"/>
      <c r="S99" s="111"/>
      <c r="T99" s="112">
        <f>(((2*(B97+E97))*(D97+G97+H97+F97))+((2*(D97+E97))*(C97+I97+F97)))/1000000</f>
        <v>0</v>
      </c>
      <c r="U99" s="112">
        <f>((IF(T99&lt;=informatieblad!$I$16,informatieblad!$I$16,IF(T99&gt;=informatieblad!$I$16,T99))))</f>
        <v>0.5</v>
      </c>
      <c r="V99" s="112">
        <f>(((2*(B97+E97))*(D97+G97+H97+F97))+((2*(D97+E97))*(C97+I97+F97)))/1000000</f>
        <v>0</v>
      </c>
      <c r="W99" s="112">
        <f>((IF(V99&lt;=informatieblad!$H$16,informatieblad!$H$16,IF(V99&gt;=informatieblad!$H$16,V99))))</f>
        <v>0</v>
      </c>
      <c r="X99" s="113">
        <f>((W99*AH99)+(W99*AA99))*C99</f>
        <v>0</v>
      </c>
      <c r="Y99" s="114">
        <f>((U99*AI99)+(U99*AB99))*C99</f>
        <v>0</v>
      </c>
      <c r="Z99" s="115" t="str">
        <f>G99</f>
        <v>Options None</v>
      </c>
      <c r="AA99" s="115">
        <f>VLOOKUP(G99,informatieblad!$A$37:$D$41,2,FALSE)</f>
        <v>0</v>
      </c>
      <c r="AB99" s="115">
        <f>VLOOKUP(G99,informatieblad!$A$37:$D$41,4,FALSE)</f>
        <v>0</v>
      </c>
      <c r="AC99" s="180">
        <f>(MAX(J97,K97))</f>
        <v>0</v>
      </c>
      <c r="AD99" s="119">
        <f>(MAX(L97,M97))</f>
        <v>0</v>
      </c>
      <c r="AE99" s="119">
        <f>(MAX(J97,L97))</f>
        <v>0</v>
      </c>
      <c r="AF99" s="119">
        <f>(MAX(B97:E97))</f>
        <v>0</v>
      </c>
      <c r="AG99" s="119">
        <f>LOOKUP(AF99,informatieblad!$C$27:$C$32,informatieblad!$A$27:$A$32)</f>
        <v>0.5</v>
      </c>
      <c r="AH99" s="118">
        <f>VLOOKUP(AG99,informatieblad!$A$27:$M$32,6,FALSE)</f>
        <v>0</v>
      </c>
      <c r="AI99" s="118">
        <f>VLOOKUP(AG99,informatieblad!$A$27:$M$32,8,FALSE)</f>
        <v>45.1248</v>
      </c>
      <c r="AJ99" s="120">
        <f>VLOOKUP(AG99,informatieblad!$A$27:$M$32,13,FALSE)</f>
        <v>4</v>
      </c>
      <c r="AK99" s="121">
        <f>ROUND((AJ99*V99),1)</f>
        <v>0</v>
      </c>
      <c r="AM99" s="111">
        <f>(IF(B98=AM97,((2*B97)+(2*E97)),IF(B98=AM98,((2*B97)+(2*E97)),0)))*C99</f>
        <v>0</v>
      </c>
      <c r="AN99" s="261">
        <f>(IF(C98=AM97,((2*C97)+(2*E97)),IF(C98=AM98,((2*C97)+(2*E97)),0)))*C99</f>
        <v>0</v>
      </c>
      <c r="AO99" s="261">
        <f>(IF(D98=AM97,((2*D97)+(2*E97)),IF(D98=AM98,((2*D97)+(2*E97)),0)))*C99</f>
        <v>0</v>
      </c>
      <c r="AP99" s="111">
        <f>(IF(B98=AP97,((2*B97)+(2*E97)),IF(B98=AP98,((2*B97)+(2*E97)),0)))*C99</f>
        <v>0</v>
      </c>
      <c r="AQ99" s="261">
        <f>(IF(C98=AP97,((2*C97)+(2*E97)),IF(C98=AP98,((2*C97)+(2*E97)),0)))*C99</f>
        <v>0</v>
      </c>
      <c r="AR99" s="260">
        <f>(IF(D98=AP97,((2*D97)+(2*E97)),IF(D98=AP98,((2*D97)+(2*E97)),0)))*C99</f>
        <v>0</v>
      </c>
      <c r="AS99" s="261">
        <f>(IF(B98=AS97,((2*B97)+(2*E97)),IF(B98=AS98,((2*B97)+(2*E97)),0)))*C99</f>
        <v>0</v>
      </c>
      <c r="AT99" s="261">
        <f>(IF(C98=AS97,((2*C97)+(2*E97)),IF(C98=AS98,((2*C97)+(2*E97)),0)))*C99</f>
        <v>0</v>
      </c>
      <c r="AU99" s="260">
        <f>(IF(D98=AS97,((2*D97)+(2*E97)),IF(D98=AS98,((2*D97)+(2*E97)),0)))*C99</f>
        <v>0</v>
      </c>
      <c r="AV99" s="111">
        <f>(IF(B98=AV97,((2*B97)+(2*E97)),0))*C99</f>
        <v>0</v>
      </c>
      <c r="AW99" s="261">
        <f>(IF(C98=AV97,((2*C97)+(2*E97)),0))*C99</f>
        <v>0</v>
      </c>
      <c r="AX99" s="260">
        <f>(IF(D98=AV97,((2*D97)+(2*E97)),0))*C99</f>
        <v>0</v>
      </c>
      <c r="AY99" s="83"/>
      <c r="AZ99" s="268">
        <f>(D97+H85+H85+G97+I97)*C99</f>
        <v>0</v>
      </c>
      <c r="BA99" s="83"/>
      <c r="BB99" s="268">
        <f>(AE99+100)*C99</f>
        <v>0</v>
      </c>
      <c r="BC99" s="83"/>
      <c r="BD99" s="111" t="str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/>
      </c>
      <c r="BE99" s="275" t="str">
        <f>IF(C98=informatieblad!$A$6,informatieblad!$B$6,IF(C98=informatieblad!$A$7,informatieblad!$B$7,IF(C98=informatieblad!$A$8,informatieblad!$B$8,IF(C98=informatieblad!$A$2,informatieblad!$B$2,IF(C98=informatieblad!$A$3,informatieblad!$B$3,IF(C98=informatieblad!$A$4,informatieblad!$B$4,IF(C98=informatieblad!$A$5,informatieblad!$B$5,"")))))))</f>
        <v/>
      </c>
      <c r="BF99" s="276" t="str">
        <f>IF(D98=informatieblad!$A$6,informatieblad!$B$6,IF(D98=informatieblad!$A$7,informatieblad!$B$7,IF(D98=informatieblad!$A$8,informatieblad!$B$8,IF(D98=informatieblad!$A$2,informatieblad!$B$2,IF(D98=informatieblad!$A$3,informatieblad!$B$3,IF(D98=informatieblad!$A$4,informatieblad!$B$4,IF(D98=informatieblad!$A$5,informatieblad!$B$5,"")))))))</f>
        <v/>
      </c>
      <c r="BG99" s="276">
        <f>IF(BD99=BG97,(4*C99),0)</f>
        <v>0</v>
      </c>
      <c r="BH99" s="276">
        <f>IF(BE99=BG97,(4*C99),0)</f>
        <v>0</v>
      </c>
      <c r="BI99" s="276">
        <f>IF(BF99=BG97,(4*C99),0)</f>
        <v>0</v>
      </c>
      <c r="BJ99" s="275">
        <f>IF(BD99=BJ97,(4*C99),0)</f>
        <v>0</v>
      </c>
      <c r="BK99" s="276">
        <f>IF(BE99=BJ97,(4*C99),0)</f>
        <v>0</v>
      </c>
      <c r="BL99" s="274">
        <f>IF(BF99=BJ97,(4*C99),0)</f>
        <v>0</v>
      </c>
    </row>
    <row r="100" spans="1:64" ht="5.0999999999999996" customHeight="1" thickBot="1">
      <c r="A100" s="201"/>
      <c r="B100" s="88"/>
      <c r="C100" s="88"/>
      <c r="D100" s="88"/>
      <c r="E100" s="88"/>
      <c r="F100" s="88"/>
      <c r="G100" s="88"/>
      <c r="H100" s="88"/>
      <c r="I100" s="146"/>
    </row>
    <row r="101" spans="1:64" ht="15" customHeight="1" thickBot="1">
      <c r="A101" s="445"/>
      <c r="B101" s="96"/>
      <c r="C101" s="299">
        <f>B101</f>
        <v>0</v>
      </c>
      <c r="D101" s="96"/>
      <c r="E101" s="96"/>
      <c r="F101" s="299">
        <f>(B101&gt;0)*$H$9</f>
        <v>0</v>
      </c>
      <c r="G101" s="299">
        <f>(C101&gt;0)*$H$10</f>
        <v>0</v>
      </c>
      <c r="H101" s="299">
        <f>(D101&gt;0)*$H$11</f>
        <v>0</v>
      </c>
      <c r="I101" s="301">
        <f>(E101&gt;0)*$H$12</f>
        <v>0</v>
      </c>
      <c r="J101" s="345" t="s">
        <v>20</v>
      </c>
      <c r="S101" s="97" t="s">
        <v>14</v>
      </c>
      <c r="T101" s="98" t="s">
        <v>27</v>
      </c>
      <c r="U101" s="98" t="s">
        <v>28</v>
      </c>
      <c r="V101" s="98" t="s">
        <v>27</v>
      </c>
      <c r="W101" s="98" t="s">
        <v>28</v>
      </c>
      <c r="X101" s="98" t="s">
        <v>29</v>
      </c>
      <c r="Y101" s="66" t="s">
        <v>30</v>
      </c>
      <c r="Z101" s="153" t="s">
        <v>31</v>
      </c>
      <c r="AA101" s="153"/>
      <c r="AB101" s="153"/>
      <c r="AC101" s="154" t="s">
        <v>83</v>
      </c>
      <c r="AD101" s="100" t="s">
        <v>83</v>
      </c>
      <c r="AE101" s="100" t="s">
        <v>83</v>
      </c>
      <c r="AF101" s="100" t="s">
        <v>33</v>
      </c>
      <c r="AG101" s="100" t="s">
        <v>34</v>
      </c>
      <c r="AH101" s="98" t="s">
        <v>32</v>
      </c>
      <c r="AI101" s="98" t="s">
        <v>32</v>
      </c>
      <c r="AJ101" s="98" t="s">
        <v>50</v>
      </c>
      <c r="AK101" s="101" t="s">
        <v>36</v>
      </c>
      <c r="AM101" s="97" t="str">
        <f>informatieblad!$A$6</f>
        <v>FL20</v>
      </c>
      <c r="AN101" s="99"/>
      <c r="AO101" s="99"/>
      <c r="AP101" s="97" t="str">
        <f>informatieblad!$A$7</f>
        <v>FL30</v>
      </c>
      <c r="AQ101" s="99"/>
      <c r="AR101" s="66"/>
      <c r="AS101" s="99" t="str">
        <f>informatieblad!$A$8</f>
        <v>FL40</v>
      </c>
      <c r="AT101" s="99"/>
      <c r="AU101" s="66"/>
      <c r="AV101" s="97" t="str">
        <f>informatieblad!$A$5</f>
        <v>none</v>
      </c>
      <c r="AW101" s="99"/>
      <c r="AX101" s="264"/>
      <c r="AY101" s="83"/>
      <c r="AZ101" s="266" t="s">
        <v>17</v>
      </c>
      <c r="BA101" s="131"/>
      <c r="BB101" s="266" t="s">
        <v>37</v>
      </c>
      <c r="BC101" s="131"/>
      <c r="BD101" s="269" t="s">
        <v>38</v>
      </c>
      <c r="BE101" s="272"/>
      <c r="BF101" s="272"/>
      <c r="BG101" s="289">
        <f>informatieblad!$B$3</f>
        <v>0</v>
      </c>
      <c r="BH101" s="272"/>
      <c r="BI101" s="272"/>
      <c r="BJ101" s="289">
        <f>informatieblad!$B$4</f>
        <v>0</v>
      </c>
      <c r="BK101" s="272"/>
      <c r="BL101" s="264"/>
    </row>
    <row r="102" spans="1:64" ht="15" customHeight="1">
      <c r="A102" s="446"/>
      <c r="B102" s="202" t="str">
        <f>IF($C103&gt;0,IF(MAX(B101,E101)&lt;informatieblad!$Q$4,informatieblad!$P$3,IF(MAX(B101,E101)&gt;informatieblad!$R$4,informatieblad!$P$5,informatieblad!$P$4)),"")</f>
        <v/>
      </c>
      <c r="C102" s="202" t="str">
        <f>IF($C103&gt;0,IF(MAX(C101,E101)&lt;informatieblad!$Q$4,informatieblad!$P$3,IF(MAX(C101,E101)&gt;informatieblad!$R$4,informatieblad!$P$5,informatieblad!$P$4)),"")</f>
        <v/>
      </c>
      <c r="D102" s="203" t="str">
        <f>IF($C103&gt;0,IF(MAX(D101,E101)&lt;informatieblad!$Q$4,informatieblad!$P$3,IF(MAX(D101,E101)&gt;informatieblad!$R$4,informatieblad!$P$5,informatieblad!$P$4)),"")</f>
        <v/>
      </c>
      <c r="E102" s="190" t="str">
        <f>A101&amp;"-"&amp;informatieblad!$B$16&amp;"-"&amp;B101&amp;"-"&amp;C101&amp;"-"&amp;D101&amp;"-"&amp;E101&amp;"-"&amp;F101&amp;"-"&amp;G101&amp;"-"&amp;H101&amp;"-"&amp;I101&amp;"-"&amp;B102&amp;"-"&amp;C102&amp;"-"&amp;D102&amp;"-"&amp;G103</f>
        <v>-RctT--0---0-0-0-0----Options None</v>
      </c>
      <c r="F102" s="174"/>
      <c r="G102" s="174"/>
      <c r="H102" s="174"/>
      <c r="I102" s="199"/>
      <c r="J102" s="83"/>
      <c r="S102" s="103">
        <f>A101</f>
        <v>0</v>
      </c>
      <c r="T102" s="104" t="s">
        <v>39</v>
      </c>
      <c r="U102" s="104" t="s">
        <v>39</v>
      </c>
      <c r="V102" s="104" t="s">
        <v>40</v>
      </c>
      <c r="W102" s="104" t="s">
        <v>40</v>
      </c>
      <c r="X102" s="104" t="s">
        <v>40</v>
      </c>
      <c r="Y102" s="105"/>
      <c r="Z102" s="155" t="s">
        <v>27</v>
      </c>
      <c r="AA102" s="155" t="s">
        <v>40</v>
      </c>
      <c r="AB102" s="155" t="s">
        <v>41</v>
      </c>
      <c r="AC102" s="156" t="s">
        <v>109</v>
      </c>
      <c r="AD102" s="104" t="s">
        <v>110</v>
      </c>
      <c r="AE102" s="107" t="s">
        <v>95</v>
      </c>
      <c r="AF102" s="107" t="s">
        <v>44</v>
      </c>
      <c r="AG102" s="107"/>
      <c r="AH102" s="104" t="s">
        <v>40</v>
      </c>
      <c r="AI102" s="104" t="s">
        <v>41</v>
      </c>
      <c r="AJ102" s="108"/>
      <c r="AK102" s="109"/>
      <c r="AM102" s="262" t="str">
        <f>informatieblad!$A$2</f>
        <v>FL20 loose</v>
      </c>
      <c r="AN102" s="263"/>
      <c r="AO102" s="263"/>
      <c r="AP102" s="262" t="str">
        <f>informatieblad!$A$3</f>
        <v>FL30 loose</v>
      </c>
      <c r="AQ102" s="263"/>
      <c r="AR102" s="105"/>
      <c r="AS102" s="263" t="str">
        <f>informatieblad!$A$4</f>
        <v>FL40 loose</v>
      </c>
      <c r="AT102" s="263"/>
      <c r="AU102" s="105"/>
      <c r="AV102" s="265"/>
      <c r="AW102" s="106"/>
      <c r="AX102" s="105"/>
      <c r="AY102" s="83"/>
      <c r="AZ102" s="267"/>
      <c r="BA102" s="83"/>
      <c r="BB102" s="267"/>
      <c r="BC102" s="83"/>
      <c r="BD102" s="265" t="s">
        <v>47</v>
      </c>
      <c r="BE102" s="106" t="s">
        <v>48</v>
      </c>
      <c r="BF102" s="106" t="s">
        <v>48</v>
      </c>
      <c r="BG102" s="290" t="s">
        <v>23</v>
      </c>
      <c r="BH102" s="83" t="s">
        <v>23</v>
      </c>
      <c r="BI102" s="83" t="s">
        <v>23</v>
      </c>
      <c r="BJ102" s="290" t="s">
        <v>23</v>
      </c>
      <c r="BK102" s="83" t="s">
        <v>23</v>
      </c>
      <c r="BL102" s="273" t="s">
        <v>23</v>
      </c>
    </row>
    <row r="103" spans="1:64" ht="15" customHeight="1" thickBot="1">
      <c r="A103" s="447"/>
      <c r="B103" s="92" t="s">
        <v>23</v>
      </c>
      <c r="C103" s="110"/>
      <c r="D103" s="94">
        <f>C103*U103</f>
        <v>0</v>
      </c>
      <c r="E103" s="141" t="s">
        <v>24</v>
      </c>
      <c r="F103" s="200"/>
      <c r="G103" s="457" t="s">
        <v>25</v>
      </c>
      <c r="H103" s="491"/>
      <c r="I103" s="492"/>
      <c r="J103" s="176"/>
      <c r="S103" s="111"/>
      <c r="T103" s="112">
        <f>(((2*(B101+E101))*(D101+G101+H101+F101))+((2*(D101+E101))*(C101+I101+F101)))/1000000</f>
        <v>0</v>
      </c>
      <c r="U103" s="112">
        <f>((IF(T103&lt;=informatieblad!$I$16,informatieblad!$I$16,IF(T103&gt;=informatieblad!$I$16,T103))))</f>
        <v>0.5</v>
      </c>
      <c r="V103" s="112">
        <f>(((2*(B101+E101))*(D101+G101+H101+F101))+((2*(D101+E101))*(C101+I101+F101)))/1000000</f>
        <v>0</v>
      </c>
      <c r="W103" s="112">
        <f>((IF(V103&lt;=informatieblad!$H$16,informatieblad!$H$16,IF(V103&gt;=informatieblad!$H$16,V103))))</f>
        <v>0</v>
      </c>
      <c r="X103" s="113">
        <f>((W103*AH103)+(W103*AA103))*C103</f>
        <v>0</v>
      </c>
      <c r="Y103" s="114">
        <f>((U103*AI103)+(U103*AB103))*C103</f>
        <v>0</v>
      </c>
      <c r="Z103" s="115" t="str">
        <f>G103</f>
        <v>Options None</v>
      </c>
      <c r="AA103" s="115">
        <f>VLOOKUP(G103,informatieblad!$A$37:$D$41,2,FALSE)</f>
        <v>0</v>
      </c>
      <c r="AB103" s="115">
        <f>VLOOKUP(G103,informatieblad!$A$37:$D$41,4,FALSE)</f>
        <v>0</v>
      </c>
      <c r="AC103" s="180">
        <f>(MAX(J101,K101))</f>
        <v>0</v>
      </c>
      <c r="AD103" s="119">
        <f>(MAX(L101,M101))</f>
        <v>0</v>
      </c>
      <c r="AE103" s="119">
        <f>(MAX(J101,L101))</f>
        <v>0</v>
      </c>
      <c r="AF103" s="119">
        <f>(MAX(B101:E101))</f>
        <v>0</v>
      </c>
      <c r="AG103" s="119">
        <f>LOOKUP(AF103,informatieblad!$C$27:$C$32,informatieblad!$A$27:$A$32)</f>
        <v>0.5</v>
      </c>
      <c r="AH103" s="118">
        <f>VLOOKUP(AG103,informatieblad!$A$27:$M$32,6,FALSE)</f>
        <v>0</v>
      </c>
      <c r="AI103" s="118">
        <f>VLOOKUP(AG103,informatieblad!$A$27:$M$32,8,FALSE)</f>
        <v>45.1248</v>
      </c>
      <c r="AJ103" s="120">
        <f>VLOOKUP(AG103,informatieblad!$A$27:$M$32,13,FALSE)</f>
        <v>4</v>
      </c>
      <c r="AK103" s="121">
        <f>ROUND((AJ103*V103),1)</f>
        <v>0</v>
      </c>
      <c r="AM103" s="111">
        <f>(IF(B102=AM101,((2*B101)+(2*E101)),IF(B102=AM102,((2*B101)+(2*E101)),0)))*C103</f>
        <v>0</v>
      </c>
      <c r="AN103" s="261">
        <f>(IF(C102=AM101,((2*C101)+(2*E101)),IF(C102=AM102,((2*C101)+(2*E101)),0)))*C103</f>
        <v>0</v>
      </c>
      <c r="AO103" s="261">
        <f>(IF(D102=AM101,((2*D101)+(2*E101)),IF(D102=AM102,((2*D101)+(2*E101)),0)))*C103</f>
        <v>0</v>
      </c>
      <c r="AP103" s="111">
        <f>(IF(B102=AP101,((2*B101)+(2*E101)),IF(B102=AP102,((2*B101)+(2*E101)),0)))*C103</f>
        <v>0</v>
      </c>
      <c r="AQ103" s="261">
        <f>(IF(C102=AP101,((2*C101)+(2*E101)),IF(C102=AP102,((2*C101)+(2*E101)),0)))*C103</f>
        <v>0</v>
      </c>
      <c r="AR103" s="260">
        <f>(IF(D102=AP101,((2*D101)+(2*E101)),IF(D102=AP102,((2*D101)+(2*E101)),0)))*C103</f>
        <v>0</v>
      </c>
      <c r="AS103" s="261">
        <f>(IF(B102=AS101,((2*B101)+(2*E101)),IF(B102=AS102,((2*B101)+(2*E101)),0)))*C103</f>
        <v>0</v>
      </c>
      <c r="AT103" s="261">
        <f>(IF(C102=AS101,((2*C101)+(2*E101)),IF(C102=AS102,((2*C101)+(2*E101)),0)))*C103</f>
        <v>0</v>
      </c>
      <c r="AU103" s="260">
        <f>(IF(D102=AS101,((2*D101)+(2*E101)),IF(D102=AS102,((2*D101)+(2*E101)),0)))*C103</f>
        <v>0</v>
      </c>
      <c r="AV103" s="111">
        <f>(IF(B102=AV101,((2*B101)+(2*E101)),0))*C103</f>
        <v>0</v>
      </c>
      <c r="AW103" s="261">
        <f>(IF(C102=AV101,((2*C101)+(2*E101)),0))*C103</f>
        <v>0</v>
      </c>
      <c r="AX103" s="260">
        <f>(IF(D102=AV101,((2*D101)+(2*E101)),0))*C103</f>
        <v>0</v>
      </c>
      <c r="AY103" s="83"/>
      <c r="AZ103" s="268">
        <f>(D101+H89+H89+G101+I101)*C103</f>
        <v>0</v>
      </c>
      <c r="BA103" s="83"/>
      <c r="BB103" s="268">
        <f>(AE103+100)*C103</f>
        <v>0</v>
      </c>
      <c r="BC103" s="83"/>
      <c r="BD103" s="111" t="str">
        <f>IF(B102=informatieblad!$A$6,informatieblad!$B$6,IF(B102=informatieblad!$A$7,informatieblad!$B$7,IF(B102=informatieblad!$A$8,informatieblad!$B$8,IF(B102=informatieblad!$A$2,informatieblad!$B$2,IF(B102=informatieblad!$A$3,informatieblad!$B$3,IF(B102=informatieblad!$A$4,informatieblad!$B$4,IF(B102=informatieblad!$A$5,informatieblad!$B$5,"")))))))</f>
        <v/>
      </c>
      <c r="BE103" s="275" t="str">
        <f>IF(C102=informatieblad!$A$6,informatieblad!$B$6,IF(C102=informatieblad!$A$7,informatieblad!$B$7,IF(C102=informatieblad!$A$8,informatieblad!$B$8,IF(C102=informatieblad!$A$2,informatieblad!$B$2,IF(C102=informatieblad!$A$3,informatieblad!$B$3,IF(C102=informatieblad!$A$4,informatieblad!$B$4,IF(C102=informatieblad!$A$5,informatieblad!$B$5,"")))))))</f>
        <v/>
      </c>
      <c r="BF103" s="276" t="str">
        <f>IF(D102=informatieblad!$A$6,informatieblad!$B$6,IF(D102=informatieblad!$A$7,informatieblad!$B$7,IF(D102=informatieblad!$A$8,informatieblad!$B$8,IF(D102=informatieblad!$A$2,informatieblad!$B$2,IF(D102=informatieblad!$A$3,informatieblad!$B$3,IF(D102=informatieblad!$A$4,informatieblad!$B$4,IF(D102=informatieblad!$A$5,informatieblad!$B$5,"")))))))</f>
        <v/>
      </c>
      <c r="BG103" s="276">
        <f>IF(BD103=BG101,(4*C103),0)</f>
        <v>0</v>
      </c>
      <c r="BH103" s="276">
        <f>IF(BE103=BG101,(4*C103),0)</f>
        <v>0</v>
      </c>
      <c r="BI103" s="276">
        <f>IF(BF103=BG101,(4*C103),0)</f>
        <v>0</v>
      </c>
      <c r="BJ103" s="275">
        <f>IF(BD103=BJ101,(4*C103),0)</f>
        <v>0</v>
      </c>
      <c r="BK103" s="276">
        <f>IF(BE103=BJ101,(4*C103),0)</f>
        <v>0</v>
      </c>
      <c r="BL103" s="274">
        <f>IF(BF103=BJ101,(4*C103),0)</f>
        <v>0</v>
      </c>
    </row>
    <row r="104" spans="1:64" ht="5.0999999999999996" customHeight="1" thickBot="1">
      <c r="A104" s="145"/>
      <c r="B104" s="122"/>
      <c r="C104" s="122"/>
      <c r="D104" s="122"/>
      <c r="E104" s="122"/>
      <c r="F104" s="122"/>
      <c r="G104" s="122"/>
      <c r="H104" s="122"/>
      <c r="I104" s="146"/>
    </row>
    <row r="105" spans="1:64" ht="15" customHeight="1" thickBot="1">
      <c r="A105" s="445"/>
      <c r="B105" s="96"/>
      <c r="C105" s="300">
        <f>B105</f>
        <v>0</v>
      </c>
      <c r="D105" s="96"/>
      <c r="E105" s="96"/>
      <c r="F105" s="300">
        <f>(B105&gt;0)*$H$9</f>
        <v>0</v>
      </c>
      <c r="G105" s="300">
        <f>(C105&gt;0)*$H$10</f>
        <v>0</v>
      </c>
      <c r="H105" s="300">
        <f>(D105&gt;0)*$H$11</f>
        <v>0</v>
      </c>
      <c r="I105" s="302">
        <f>(E105&gt;0)*$H$12</f>
        <v>0</v>
      </c>
      <c r="J105" s="345" t="s">
        <v>20</v>
      </c>
      <c r="S105" s="97" t="s">
        <v>14</v>
      </c>
      <c r="T105" s="98" t="s">
        <v>27</v>
      </c>
      <c r="U105" s="98" t="s">
        <v>28</v>
      </c>
      <c r="V105" s="98" t="s">
        <v>27</v>
      </c>
      <c r="W105" s="98" t="s">
        <v>28</v>
      </c>
      <c r="X105" s="98" t="s">
        <v>29</v>
      </c>
      <c r="Y105" s="66" t="s">
        <v>30</v>
      </c>
      <c r="Z105" s="153" t="s">
        <v>31</v>
      </c>
      <c r="AA105" s="153"/>
      <c r="AB105" s="153"/>
      <c r="AC105" s="154" t="s">
        <v>83</v>
      </c>
      <c r="AD105" s="100" t="s">
        <v>83</v>
      </c>
      <c r="AE105" s="100" t="s">
        <v>83</v>
      </c>
      <c r="AF105" s="100" t="s">
        <v>33</v>
      </c>
      <c r="AG105" s="100" t="s">
        <v>34</v>
      </c>
      <c r="AH105" s="98" t="s">
        <v>32</v>
      </c>
      <c r="AI105" s="98" t="s">
        <v>32</v>
      </c>
      <c r="AJ105" s="98" t="s">
        <v>50</v>
      </c>
      <c r="AK105" s="101" t="s">
        <v>36</v>
      </c>
      <c r="AM105" s="97" t="str">
        <f>informatieblad!$A$6</f>
        <v>FL20</v>
      </c>
      <c r="AN105" s="99"/>
      <c r="AO105" s="99"/>
      <c r="AP105" s="97" t="str">
        <f>informatieblad!$A$7</f>
        <v>FL30</v>
      </c>
      <c r="AQ105" s="99"/>
      <c r="AR105" s="66"/>
      <c r="AS105" s="99" t="str">
        <f>informatieblad!$A$8</f>
        <v>FL40</v>
      </c>
      <c r="AT105" s="99"/>
      <c r="AU105" s="66"/>
      <c r="AV105" s="97" t="str">
        <f>informatieblad!$A$5</f>
        <v>none</v>
      </c>
      <c r="AW105" s="99"/>
      <c r="AX105" s="264"/>
      <c r="AY105" s="83"/>
      <c r="AZ105" s="266" t="s">
        <v>17</v>
      </c>
      <c r="BA105" s="131"/>
      <c r="BB105" s="266" t="s">
        <v>37</v>
      </c>
      <c r="BC105" s="131"/>
      <c r="BD105" s="269" t="s">
        <v>38</v>
      </c>
      <c r="BE105" s="272"/>
      <c r="BF105" s="272"/>
      <c r="BG105" s="289">
        <f>informatieblad!$B$3</f>
        <v>0</v>
      </c>
      <c r="BH105" s="272"/>
      <c r="BI105" s="272"/>
      <c r="BJ105" s="289">
        <f>informatieblad!$B$4</f>
        <v>0</v>
      </c>
      <c r="BK105" s="272"/>
      <c r="BL105" s="264"/>
    </row>
    <row r="106" spans="1:64" ht="15" customHeight="1">
      <c r="A106" s="446"/>
      <c r="B106" s="202" t="str">
        <f>IF($C107&gt;0,IF(MAX(B105,E105)&lt;informatieblad!$Q$4,informatieblad!$P$3,IF(MAX(B105,E105)&gt;informatieblad!$R$4,informatieblad!$P$5,informatieblad!$P$4)),"")</f>
        <v/>
      </c>
      <c r="C106" s="202" t="str">
        <f>IF($C107&gt;0,IF(MAX(C105,E105)&lt;informatieblad!$Q$4,informatieblad!$P$3,IF(MAX(C105,E105)&gt;informatieblad!$R$4,informatieblad!$P$5,informatieblad!$P$4)),"")</f>
        <v/>
      </c>
      <c r="D106" s="203" t="str">
        <f>IF($C107&gt;0,IF(MAX(D105,E105)&lt;informatieblad!$Q$4,informatieblad!$P$3,IF(MAX(D105,E105)&gt;informatieblad!$R$4,informatieblad!$P$5,informatieblad!$P$4)),"")</f>
        <v/>
      </c>
      <c r="E106" s="190" t="str">
        <f>A105&amp;"-"&amp;informatieblad!$B$16&amp;"-"&amp;B105&amp;"-"&amp;C105&amp;"-"&amp;D105&amp;"-"&amp;E105&amp;"-"&amp;F105&amp;"-"&amp;G105&amp;"-"&amp;H105&amp;"-"&amp;I105&amp;"-"&amp;B106&amp;"-"&amp;C106&amp;"-"&amp;D106&amp;"-"&amp;G107</f>
        <v>-RctT--0---0-0-0-0----Options None</v>
      </c>
      <c r="F106" s="174"/>
      <c r="G106" s="174"/>
      <c r="H106" s="174"/>
      <c r="I106" s="199"/>
      <c r="J106" s="83"/>
      <c r="S106" s="103">
        <f>A105</f>
        <v>0</v>
      </c>
      <c r="T106" s="104" t="s">
        <v>39</v>
      </c>
      <c r="U106" s="104" t="s">
        <v>39</v>
      </c>
      <c r="V106" s="104" t="s">
        <v>40</v>
      </c>
      <c r="W106" s="104" t="s">
        <v>40</v>
      </c>
      <c r="X106" s="104" t="s">
        <v>40</v>
      </c>
      <c r="Y106" s="105"/>
      <c r="Z106" s="155" t="s">
        <v>27</v>
      </c>
      <c r="AA106" s="155" t="s">
        <v>40</v>
      </c>
      <c r="AB106" s="155" t="s">
        <v>41</v>
      </c>
      <c r="AC106" s="156" t="s">
        <v>109</v>
      </c>
      <c r="AD106" s="104" t="s">
        <v>110</v>
      </c>
      <c r="AE106" s="107" t="s">
        <v>95</v>
      </c>
      <c r="AF106" s="107" t="s">
        <v>44</v>
      </c>
      <c r="AG106" s="107"/>
      <c r="AH106" s="104" t="s">
        <v>40</v>
      </c>
      <c r="AI106" s="104" t="s">
        <v>41</v>
      </c>
      <c r="AJ106" s="108"/>
      <c r="AK106" s="109"/>
      <c r="AM106" s="262" t="str">
        <f>informatieblad!$A$2</f>
        <v>FL20 loose</v>
      </c>
      <c r="AN106" s="263"/>
      <c r="AO106" s="263"/>
      <c r="AP106" s="262" t="str">
        <f>informatieblad!$A$3</f>
        <v>FL30 loose</v>
      </c>
      <c r="AQ106" s="263"/>
      <c r="AR106" s="105"/>
      <c r="AS106" s="263" t="str">
        <f>informatieblad!$A$4</f>
        <v>FL40 loose</v>
      </c>
      <c r="AT106" s="263"/>
      <c r="AU106" s="105"/>
      <c r="AV106" s="265"/>
      <c r="AW106" s="106"/>
      <c r="AX106" s="105"/>
      <c r="AY106" s="83"/>
      <c r="AZ106" s="267"/>
      <c r="BA106" s="83"/>
      <c r="BB106" s="267"/>
      <c r="BC106" s="83"/>
      <c r="BD106" s="265" t="s">
        <v>47</v>
      </c>
      <c r="BE106" s="106" t="s">
        <v>48</v>
      </c>
      <c r="BF106" s="106" t="s">
        <v>48</v>
      </c>
      <c r="BG106" s="290" t="s">
        <v>23</v>
      </c>
      <c r="BH106" s="83" t="s">
        <v>23</v>
      </c>
      <c r="BI106" s="83" t="s">
        <v>23</v>
      </c>
      <c r="BJ106" s="290" t="s">
        <v>23</v>
      </c>
      <c r="BK106" s="83" t="s">
        <v>23</v>
      </c>
      <c r="BL106" s="273" t="s">
        <v>23</v>
      </c>
    </row>
    <row r="107" spans="1:64" ht="15" customHeight="1" thickBot="1">
      <c r="A107" s="447"/>
      <c r="B107" s="92" t="s">
        <v>23</v>
      </c>
      <c r="C107" s="110"/>
      <c r="D107" s="94">
        <f>C107*U107</f>
        <v>0</v>
      </c>
      <c r="E107" s="141" t="s">
        <v>24</v>
      </c>
      <c r="F107" s="200"/>
      <c r="G107" s="457" t="s">
        <v>25</v>
      </c>
      <c r="H107" s="491"/>
      <c r="I107" s="492"/>
      <c r="J107" s="176"/>
      <c r="S107" s="111"/>
      <c r="T107" s="112">
        <f>(((2*(B105+E105))*(D105+G105+H105+F105))+((2*(D105+E105))*(C105+I105+F105)))/1000000</f>
        <v>0</v>
      </c>
      <c r="U107" s="112">
        <f>((IF(T107&lt;=informatieblad!$I$16,informatieblad!$I$16,IF(T107&gt;=informatieblad!$I$16,T107))))</f>
        <v>0.5</v>
      </c>
      <c r="V107" s="112">
        <f>(((2*(B105+E105))*(D105+G105+H105+F105))+((2*(D105+E105))*(C105+I105+F105)))/1000000</f>
        <v>0</v>
      </c>
      <c r="W107" s="112">
        <f>((IF(V107&lt;=informatieblad!$H$16,informatieblad!$H$16,IF(V107&gt;=informatieblad!$H$16,V107))))</f>
        <v>0</v>
      </c>
      <c r="X107" s="113">
        <f>((W107*AH107)+(W107*AA107))*C107</f>
        <v>0</v>
      </c>
      <c r="Y107" s="114">
        <f>((U107*AI107)+(U107*AB107))*C107</f>
        <v>0</v>
      </c>
      <c r="Z107" s="115" t="str">
        <f>G107</f>
        <v>Options None</v>
      </c>
      <c r="AA107" s="115">
        <f>VLOOKUP(G107,informatieblad!$A$37:$D$41,2,FALSE)</f>
        <v>0</v>
      </c>
      <c r="AB107" s="115">
        <f>VLOOKUP(G107,informatieblad!$A$37:$D$41,4,FALSE)</f>
        <v>0</v>
      </c>
      <c r="AC107" s="180">
        <f>(MAX(J105,K105))</f>
        <v>0</v>
      </c>
      <c r="AD107" s="119">
        <f>(MAX(L105,M105))</f>
        <v>0</v>
      </c>
      <c r="AE107" s="119">
        <f>(MAX(J105,L105))</f>
        <v>0</v>
      </c>
      <c r="AF107" s="119">
        <f>(MAX(B105:E105))</f>
        <v>0</v>
      </c>
      <c r="AG107" s="119">
        <f>LOOKUP(AF107,informatieblad!$C$27:$C$32,informatieblad!$A$27:$A$32)</f>
        <v>0.5</v>
      </c>
      <c r="AH107" s="118">
        <f>VLOOKUP(AG107,informatieblad!$A$27:$M$32,6,FALSE)</f>
        <v>0</v>
      </c>
      <c r="AI107" s="118">
        <f>VLOOKUP(AG107,informatieblad!$A$27:$M$32,8,FALSE)</f>
        <v>45.1248</v>
      </c>
      <c r="AJ107" s="120">
        <f>VLOOKUP(AG107,informatieblad!$A$27:$M$32,13,FALSE)</f>
        <v>4</v>
      </c>
      <c r="AK107" s="121">
        <f>ROUND((AJ107*V107),1)</f>
        <v>0</v>
      </c>
      <c r="AM107" s="111">
        <f>(IF(B106=AM105,((2*B105)+(2*E105)),IF(B106=AM106,((2*B105)+(2*E105)),0)))*C107</f>
        <v>0</v>
      </c>
      <c r="AN107" s="261">
        <f>(IF(C106=AM105,((2*C105)+(2*E105)),IF(C106=AM106,((2*C105)+(2*E105)),0)))*C107</f>
        <v>0</v>
      </c>
      <c r="AO107" s="261">
        <f>(IF(D106=AM105,((2*D105)+(2*E105)),IF(D106=AM106,((2*D105)+(2*E105)),0)))*C107</f>
        <v>0</v>
      </c>
      <c r="AP107" s="111">
        <f>(IF(B106=AP105,((2*B105)+(2*E105)),IF(B106=AP106,((2*B105)+(2*E105)),0)))*C107</f>
        <v>0</v>
      </c>
      <c r="AQ107" s="261">
        <f>(IF(C106=AP105,((2*C105)+(2*E105)),IF(C106=AP106,((2*C105)+(2*E105)),0)))*C107</f>
        <v>0</v>
      </c>
      <c r="AR107" s="260">
        <f>(IF(D106=AP105,((2*D105)+(2*E105)),IF(D106=AP106,((2*D105)+(2*E105)),0)))*C107</f>
        <v>0</v>
      </c>
      <c r="AS107" s="261">
        <f>(IF(B106=AS105,((2*B105)+(2*E105)),IF(B106=AS106,((2*B105)+(2*E105)),0)))*C107</f>
        <v>0</v>
      </c>
      <c r="AT107" s="261">
        <f>(IF(C106=AS105,((2*C105)+(2*E105)),IF(C106=AS106,((2*C105)+(2*E105)),0)))*C107</f>
        <v>0</v>
      </c>
      <c r="AU107" s="260">
        <f>(IF(D106=AS105,((2*D105)+(2*E105)),IF(D106=AS106,((2*D105)+(2*E105)),0)))*C107</f>
        <v>0</v>
      </c>
      <c r="AV107" s="111">
        <f>(IF(B106=AV105,((2*B105)+(2*E105)),0))*C107</f>
        <v>0</v>
      </c>
      <c r="AW107" s="261">
        <f>(IF(C106=AV105,((2*C105)+(2*E105)),0))*C107</f>
        <v>0</v>
      </c>
      <c r="AX107" s="260">
        <f>(IF(D106=AV105,((2*D105)+(2*E105)),0))*C107</f>
        <v>0</v>
      </c>
      <c r="AY107" s="83"/>
      <c r="AZ107" s="268">
        <f>(D105+H93+H93+G105+I105)*C107</f>
        <v>0</v>
      </c>
      <c r="BA107" s="83"/>
      <c r="BB107" s="268">
        <f>(AE107+100)*C107</f>
        <v>0</v>
      </c>
      <c r="BC107" s="83"/>
      <c r="BD107" s="111" t="str">
        <f>IF(B106=informatieblad!$A$6,informatieblad!$B$6,IF(B106=informatieblad!$A$7,informatieblad!$B$7,IF(B106=informatieblad!$A$8,informatieblad!$B$8,IF(B106=informatieblad!$A$2,informatieblad!$B$2,IF(B106=informatieblad!$A$3,informatieblad!$B$3,IF(B106=informatieblad!$A$4,informatieblad!$B$4,IF(B106=informatieblad!$A$5,informatieblad!$B$5,"")))))))</f>
        <v/>
      </c>
      <c r="BE107" s="275" t="str">
        <f>IF(C106=informatieblad!$A$6,informatieblad!$B$6,IF(C106=informatieblad!$A$7,informatieblad!$B$7,IF(C106=informatieblad!$A$8,informatieblad!$B$8,IF(C106=informatieblad!$A$2,informatieblad!$B$2,IF(C106=informatieblad!$A$3,informatieblad!$B$3,IF(C106=informatieblad!$A$4,informatieblad!$B$4,IF(C106=informatieblad!$A$5,informatieblad!$B$5,"")))))))</f>
        <v/>
      </c>
      <c r="BF107" s="276" t="str">
        <f>IF(D106=informatieblad!$A$6,informatieblad!$B$6,IF(D106=informatieblad!$A$7,informatieblad!$B$7,IF(D106=informatieblad!$A$8,informatieblad!$B$8,IF(D106=informatieblad!$A$2,informatieblad!$B$2,IF(D106=informatieblad!$A$3,informatieblad!$B$3,IF(D106=informatieblad!$A$4,informatieblad!$B$4,IF(D106=informatieblad!$A$5,informatieblad!$B$5,"")))))))</f>
        <v/>
      </c>
      <c r="BG107" s="276">
        <f>IF(BD107=BG105,(4*C107),0)</f>
        <v>0</v>
      </c>
      <c r="BH107" s="276">
        <f>IF(BE107=BG105,(4*C107),0)</f>
        <v>0</v>
      </c>
      <c r="BI107" s="276">
        <f>IF(BF107=BG105,(4*C107),0)</f>
        <v>0</v>
      </c>
      <c r="BJ107" s="275">
        <f>IF(BD107=BJ105,(4*C107),0)</f>
        <v>0</v>
      </c>
      <c r="BK107" s="276">
        <f>IF(BE107=BJ105,(4*C107),0)</f>
        <v>0</v>
      </c>
      <c r="BL107" s="274">
        <f>IF(BF107=BJ105,(4*C107),0)</f>
        <v>0</v>
      </c>
    </row>
    <row r="108" spans="1:64" ht="5.0999999999999996" customHeight="1" thickBot="1">
      <c r="A108" s="145"/>
      <c r="B108" s="122"/>
      <c r="C108" s="122"/>
      <c r="D108" s="122"/>
      <c r="E108" s="122"/>
      <c r="F108" s="122"/>
      <c r="G108" s="122"/>
      <c r="H108" s="122"/>
      <c r="I108" s="146"/>
    </row>
    <row r="109" spans="1:64" ht="15" customHeight="1" thickBot="1">
      <c r="A109" s="445"/>
      <c r="B109" s="96"/>
      <c r="C109" s="300">
        <f>B109</f>
        <v>0</v>
      </c>
      <c r="D109" s="96"/>
      <c r="E109" s="96"/>
      <c r="F109" s="300">
        <f>(B109&gt;0)*$H$9</f>
        <v>0</v>
      </c>
      <c r="G109" s="300">
        <f>(C109&gt;0)*$H$10</f>
        <v>0</v>
      </c>
      <c r="H109" s="300">
        <f>(D109&gt;0)*$H$11</f>
        <v>0</v>
      </c>
      <c r="I109" s="302">
        <f>(E109&gt;0)*$H$12</f>
        <v>0</v>
      </c>
      <c r="J109" s="345" t="s">
        <v>20</v>
      </c>
      <c r="S109" s="97" t="s">
        <v>14</v>
      </c>
      <c r="T109" s="98" t="s">
        <v>27</v>
      </c>
      <c r="U109" s="98" t="s">
        <v>28</v>
      </c>
      <c r="V109" s="98" t="s">
        <v>27</v>
      </c>
      <c r="W109" s="98" t="s">
        <v>28</v>
      </c>
      <c r="X109" s="98" t="s">
        <v>29</v>
      </c>
      <c r="Y109" s="66" t="s">
        <v>30</v>
      </c>
      <c r="Z109" s="153" t="s">
        <v>31</v>
      </c>
      <c r="AA109" s="153"/>
      <c r="AB109" s="153"/>
      <c r="AC109" s="154" t="s">
        <v>83</v>
      </c>
      <c r="AD109" s="100" t="s">
        <v>83</v>
      </c>
      <c r="AE109" s="100" t="s">
        <v>83</v>
      </c>
      <c r="AF109" s="100" t="s">
        <v>33</v>
      </c>
      <c r="AG109" s="100" t="s">
        <v>34</v>
      </c>
      <c r="AH109" s="98" t="s">
        <v>32</v>
      </c>
      <c r="AI109" s="98" t="s">
        <v>32</v>
      </c>
      <c r="AJ109" s="98" t="s">
        <v>50</v>
      </c>
      <c r="AK109" s="101" t="s">
        <v>36</v>
      </c>
      <c r="AM109" s="97" t="str">
        <f>informatieblad!$A$6</f>
        <v>FL20</v>
      </c>
      <c r="AN109" s="99"/>
      <c r="AO109" s="99"/>
      <c r="AP109" s="97" t="str">
        <f>informatieblad!$A$7</f>
        <v>FL30</v>
      </c>
      <c r="AQ109" s="99"/>
      <c r="AR109" s="66"/>
      <c r="AS109" s="99" t="str">
        <f>informatieblad!$A$8</f>
        <v>FL40</v>
      </c>
      <c r="AT109" s="99"/>
      <c r="AU109" s="66"/>
      <c r="AV109" s="97" t="str">
        <f>informatieblad!$A$5</f>
        <v>none</v>
      </c>
      <c r="AW109" s="99"/>
      <c r="AX109" s="264"/>
      <c r="AY109" s="83"/>
      <c r="AZ109" s="266" t="s">
        <v>17</v>
      </c>
      <c r="BA109" s="131"/>
      <c r="BB109" s="266" t="s">
        <v>37</v>
      </c>
      <c r="BC109" s="131"/>
      <c r="BD109" s="269" t="s">
        <v>38</v>
      </c>
      <c r="BE109" s="272"/>
      <c r="BF109" s="272"/>
      <c r="BG109" s="289">
        <f>informatieblad!$B$3</f>
        <v>0</v>
      </c>
      <c r="BH109" s="272"/>
      <c r="BI109" s="272"/>
      <c r="BJ109" s="289">
        <f>informatieblad!$B$4</f>
        <v>0</v>
      </c>
      <c r="BK109" s="272"/>
      <c r="BL109" s="264"/>
    </row>
    <row r="110" spans="1:64" ht="15" customHeight="1">
      <c r="A110" s="446"/>
      <c r="B110" s="202" t="str">
        <f>IF($C111&gt;0,IF(MAX(B109,E109)&lt;informatieblad!$Q$4,informatieblad!$P$3,IF(MAX(B109,E109)&gt;informatieblad!$R$4,informatieblad!$P$5,informatieblad!$P$4)),"")</f>
        <v/>
      </c>
      <c r="C110" s="202" t="str">
        <f>IF($C111&gt;0,IF(MAX(C109,E109)&lt;informatieblad!$Q$4,informatieblad!$P$3,IF(MAX(C109,E109)&gt;informatieblad!$R$4,informatieblad!$P$5,informatieblad!$P$4)),"")</f>
        <v/>
      </c>
      <c r="D110" s="203" t="str">
        <f>IF($C111&gt;0,IF(MAX(D109,E109)&lt;informatieblad!$Q$4,informatieblad!$P$3,IF(MAX(D109,E109)&gt;informatieblad!$R$4,informatieblad!$P$5,informatieblad!$P$4)),"")</f>
        <v/>
      </c>
      <c r="E110" s="190" t="str">
        <f>A109&amp;"-"&amp;informatieblad!$B$16&amp;"-"&amp;B109&amp;"-"&amp;C109&amp;"-"&amp;D109&amp;"-"&amp;E109&amp;"-"&amp;F109&amp;"-"&amp;G109&amp;"-"&amp;H109&amp;"-"&amp;I109&amp;"-"&amp;B110&amp;"-"&amp;C110&amp;"-"&amp;D110&amp;"-"&amp;G111</f>
        <v>-RctT--0---0-0-0-0----Options None</v>
      </c>
      <c r="F110" s="174"/>
      <c r="G110" s="174"/>
      <c r="H110" s="174"/>
      <c r="I110" s="199"/>
      <c r="J110" s="83"/>
      <c r="S110" s="103">
        <f>A109</f>
        <v>0</v>
      </c>
      <c r="T110" s="104" t="s">
        <v>39</v>
      </c>
      <c r="U110" s="104" t="s">
        <v>39</v>
      </c>
      <c r="V110" s="104" t="s">
        <v>40</v>
      </c>
      <c r="W110" s="104" t="s">
        <v>40</v>
      </c>
      <c r="X110" s="104" t="s">
        <v>40</v>
      </c>
      <c r="Y110" s="105"/>
      <c r="Z110" s="155" t="s">
        <v>27</v>
      </c>
      <c r="AA110" s="155" t="s">
        <v>40</v>
      </c>
      <c r="AB110" s="155" t="s">
        <v>41</v>
      </c>
      <c r="AC110" s="156" t="s">
        <v>109</v>
      </c>
      <c r="AD110" s="104" t="s">
        <v>110</v>
      </c>
      <c r="AE110" s="107" t="s">
        <v>95</v>
      </c>
      <c r="AF110" s="107" t="s">
        <v>44</v>
      </c>
      <c r="AG110" s="107"/>
      <c r="AH110" s="104" t="s">
        <v>40</v>
      </c>
      <c r="AI110" s="104" t="s">
        <v>41</v>
      </c>
      <c r="AJ110" s="108"/>
      <c r="AK110" s="109"/>
      <c r="AM110" s="262" t="str">
        <f>informatieblad!$A$2</f>
        <v>FL20 loose</v>
      </c>
      <c r="AN110" s="263"/>
      <c r="AO110" s="263"/>
      <c r="AP110" s="262" t="str">
        <f>informatieblad!$A$3</f>
        <v>FL30 loose</v>
      </c>
      <c r="AQ110" s="263"/>
      <c r="AR110" s="105"/>
      <c r="AS110" s="263" t="str">
        <f>informatieblad!$A$4</f>
        <v>FL40 loose</v>
      </c>
      <c r="AT110" s="263"/>
      <c r="AU110" s="105"/>
      <c r="AV110" s="265"/>
      <c r="AW110" s="106"/>
      <c r="AX110" s="105"/>
      <c r="AY110" s="83"/>
      <c r="AZ110" s="267"/>
      <c r="BA110" s="83"/>
      <c r="BB110" s="267"/>
      <c r="BC110" s="83"/>
      <c r="BD110" s="265" t="s">
        <v>47</v>
      </c>
      <c r="BE110" s="106" t="s">
        <v>48</v>
      </c>
      <c r="BF110" s="106" t="s">
        <v>48</v>
      </c>
      <c r="BG110" s="290" t="s">
        <v>23</v>
      </c>
      <c r="BH110" s="83" t="s">
        <v>23</v>
      </c>
      <c r="BI110" s="83" t="s">
        <v>23</v>
      </c>
      <c r="BJ110" s="290" t="s">
        <v>23</v>
      </c>
      <c r="BK110" s="83" t="s">
        <v>23</v>
      </c>
      <c r="BL110" s="273" t="s">
        <v>23</v>
      </c>
    </row>
    <row r="111" spans="1:64" ht="15" customHeight="1" thickBot="1">
      <c r="A111" s="447"/>
      <c r="B111" s="92" t="s">
        <v>23</v>
      </c>
      <c r="C111" s="110"/>
      <c r="D111" s="94">
        <f>C111*U111</f>
        <v>0</v>
      </c>
      <c r="E111" s="141" t="s">
        <v>24</v>
      </c>
      <c r="F111" s="200"/>
      <c r="G111" s="457" t="s">
        <v>25</v>
      </c>
      <c r="H111" s="491"/>
      <c r="I111" s="492"/>
      <c r="J111" s="176"/>
      <c r="S111" s="111"/>
      <c r="T111" s="112">
        <f>(((2*(B109+E109))*(D109+G109+H109+F109))+((2*(D109+E109))*(C109+I109+F109)))/1000000</f>
        <v>0</v>
      </c>
      <c r="U111" s="112">
        <f>((IF(T111&lt;=informatieblad!$I$16,informatieblad!$I$16,IF(T111&gt;=informatieblad!$I$16,T111))))</f>
        <v>0.5</v>
      </c>
      <c r="V111" s="112">
        <f>(((2*(B109+E109))*(D109+G109+H109+F109))+((2*(D109+E109))*(C109+I109+F109)))/1000000</f>
        <v>0</v>
      </c>
      <c r="W111" s="112">
        <f>((IF(V111&lt;=informatieblad!$H$16,informatieblad!$H$16,IF(V111&gt;=informatieblad!$H$16,V111))))</f>
        <v>0</v>
      </c>
      <c r="X111" s="113">
        <f>((W111*AH111)+(W111*AA111))*C111</f>
        <v>0</v>
      </c>
      <c r="Y111" s="114">
        <f>((U111*AI111)+(U111*AB111))*C111</f>
        <v>0</v>
      </c>
      <c r="Z111" s="115" t="str">
        <f>G111</f>
        <v>Options None</v>
      </c>
      <c r="AA111" s="115">
        <f>VLOOKUP(G111,informatieblad!$A$37:$D$41,2,FALSE)</f>
        <v>0</v>
      </c>
      <c r="AB111" s="115">
        <f>VLOOKUP(G111,informatieblad!$A$37:$D$41,4,FALSE)</f>
        <v>0</v>
      </c>
      <c r="AC111" s="180">
        <f>(MAX(J109,K109))</f>
        <v>0</v>
      </c>
      <c r="AD111" s="119">
        <f>(MAX(L109,M109))</f>
        <v>0</v>
      </c>
      <c r="AE111" s="119">
        <f>(MAX(J109,L109))</f>
        <v>0</v>
      </c>
      <c r="AF111" s="119">
        <f>(MAX(B109:E109))</f>
        <v>0</v>
      </c>
      <c r="AG111" s="119">
        <f>LOOKUP(AF111,informatieblad!$C$27:$C$32,informatieblad!$A$27:$A$32)</f>
        <v>0.5</v>
      </c>
      <c r="AH111" s="118">
        <f>VLOOKUP(AG111,informatieblad!$A$27:$M$32,6,FALSE)</f>
        <v>0</v>
      </c>
      <c r="AI111" s="118">
        <f>VLOOKUP(AG111,informatieblad!$A$27:$M$32,8,FALSE)</f>
        <v>45.1248</v>
      </c>
      <c r="AJ111" s="120">
        <f>VLOOKUP(AG111,informatieblad!$A$27:$M$32,13,FALSE)</f>
        <v>4</v>
      </c>
      <c r="AK111" s="121">
        <f>ROUND((AJ111*V111),1)</f>
        <v>0</v>
      </c>
      <c r="AM111" s="111">
        <f>(IF(B110=AM109,((2*B109)+(2*E109)),IF(B110=AM110,((2*B109)+(2*E109)),0)))*C111</f>
        <v>0</v>
      </c>
      <c r="AN111" s="261">
        <f>(IF(C110=AM109,((2*C109)+(2*E109)),IF(C110=AM110,((2*C109)+(2*E109)),0)))*C111</f>
        <v>0</v>
      </c>
      <c r="AO111" s="261">
        <f>(IF(D110=AM109,((2*D109)+(2*E109)),IF(D110=AM110,((2*D109)+(2*E109)),0)))*C111</f>
        <v>0</v>
      </c>
      <c r="AP111" s="111">
        <f>(IF(B110=AP109,((2*B109)+(2*E109)),IF(B110=AP110,((2*B109)+(2*E109)),0)))*C111</f>
        <v>0</v>
      </c>
      <c r="AQ111" s="261">
        <f>(IF(C110=AP109,((2*C109)+(2*E109)),IF(C110=AP110,((2*C109)+(2*E109)),0)))*C111</f>
        <v>0</v>
      </c>
      <c r="AR111" s="260">
        <f>(IF(D110=AP109,((2*D109)+(2*E109)),IF(D110=AP110,((2*D109)+(2*E109)),0)))*C111</f>
        <v>0</v>
      </c>
      <c r="AS111" s="261">
        <f>(IF(B110=AS109,((2*B109)+(2*E109)),IF(B110=AS110,((2*B109)+(2*E109)),0)))*C111</f>
        <v>0</v>
      </c>
      <c r="AT111" s="261">
        <f>(IF(C110=AS109,((2*C109)+(2*E109)),IF(C110=AS110,((2*C109)+(2*E109)),0)))*C111</f>
        <v>0</v>
      </c>
      <c r="AU111" s="260">
        <f>(IF(D110=AS109,((2*D109)+(2*E109)),IF(D110=AS110,((2*D109)+(2*E109)),0)))*C111</f>
        <v>0</v>
      </c>
      <c r="AV111" s="111">
        <f>(IF(B110=AV109,((2*B109)+(2*E109)),0))*C111</f>
        <v>0</v>
      </c>
      <c r="AW111" s="261">
        <f>(IF(C110=AV109,((2*C109)+(2*E109)),0))*C111</f>
        <v>0</v>
      </c>
      <c r="AX111" s="260">
        <f>(IF(D110=AV109,((2*D109)+(2*E109)),0))*C111</f>
        <v>0</v>
      </c>
      <c r="AY111" s="83"/>
      <c r="AZ111" s="268">
        <f>(D109+H97+H97+G109+I109)*C111</f>
        <v>0</v>
      </c>
      <c r="BA111" s="83"/>
      <c r="BB111" s="268">
        <f>(AE111+100)*C111</f>
        <v>0</v>
      </c>
      <c r="BC111" s="83"/>
      <c r="BD111" s="111" t="str">
        <f>IF(B110=informatieblad!$A$6,informatieblad!$B$6,IF(B110=informatieblad!$A$7,informatieblad!$B$7,IF(B110=informatieblad!$A$8,informatieblad!$B$8,IF(B110=informatieblad!$A$2,informatieblad!$B$2,IF(B110=informatieblad!$A$3,informatieblad!$B$3,IF(B110=informatieblad!$A$4,informatieblad!$B$4,IF(B110=informatieblad!$A$5,informatieblad!$B$5,"")))))))</f>
        <v/>
      </c>
      <c r="BE111" s="275" t="str">
        <f>IF(C110=informatieblad!$A$6,informatieblad!$B$6,IF(C110=informatieblad!$A$7,informatieblad!$B$7,IF(C110=informatieblad!$A$8,informatieblad!$B$8,IF(C110=informatieblad!$A$2,informatieblad!$B$2,IF(C110=informatieblad!$A$3,informatieblad!$B$3,IF(C110=informatieblad!$A$4,informatieblad!$B$4,IF(C110=informatieblad!$A$5,informatieblad!$B$5,"")))))))</f>
        <v/>
      </c>
      <c r="BF111" s="276" t="str">
        <f>IF(D110=informatieblad!$A$6,informatieblad!$B$6,IF(D110=informatieblad!$A$7,informatieblad!$B$7,IF(D110=informatieblad!$A$8,informatieblad!$B$8,IF(D110=informatieblad!$A$2,informatieblad!$B$2,IF(D110=informatieblad!$A$3,informatieblad!$B$3,IF(D110=informatieblad!$A$4,informatieblad!$B$4,IF(D110=informatieblad!$A$5,informatieblad!$B$5,"")))))))</f>
        <v/>
      </c>
      <c r="BG111" s="276">
        <f>IF(BD111=BG109,(4*C111),0)</f>
        <v>0</v>
      </c>
      <c r="BH111" s="276">
        <f>IF(BE111=BG109,(4*C111),0)</f>
        <v>0</v>
      </c>
      <c r="BI111" s="276">
        <f>IF(BF111=BG109,(4*C111),0)</f>
        <v>0</v>
      </c>
      <c r="BJ111" s="275">
        <f>IF(BD111=BJ109,(4*C111),0)</f>
        <v>0</v>
      </c>
      <c r="BK111" s="276">
        <f>IF(BE111=BJ109,(4*C111),0)</f>
        <v>0</v>
      </c>
      <c r="BL111" s="274">
        <f>IF(BF111=BJ109,(4*C111),0)</f>
        <v>0</v>
      </c>
    </row>
    <row r="112" spans="1:64" ht="5.0999999999999996" customHeight="1" thickBot="1">
      <c r="A112" s="145"/>
      <c r="B112" s="122"/>
      <c r="C112" s="122"/>
      <c r="D112" s="122"/>
      <c r="E112" s="122"/>
      <c r="F112" s="122"/>
      <c r="G112" s="122"/>
      <c r="H112" s="122"/>
      <c r="I112" s="146"/>
    </row>
    <row r="113" spans="1:64" ht="15" customHeight="1" thickBot="1">
      <c r="A113" s="445"/>
      <c r="B113" s="96"/>
      <c r="C113" s="300">
        <f>B113</f>
        <v>0</v>
      </c>
      <c r="D113" s="96"/>
      <c r="E113" s="96"/>
      <c r="F113" s="300">
        <f>(B113&gt;0)*$H$9</f>
        <v>0</v>
      </c>
      <c r="G113" s="300">
        <f>(C113&gt;0)*$H$10</f>
        <v>0</v>
      </c>
      <c r="H113" s="300">
        <f>(D113&gt;0)*$H$11</f>
        <v>0</v>
      </c>
      <c r="I113" s="302">
        <f>(E113&gt;0)*$H$12</f>
        <v>0</v>
      </c>
      <c r="J113" s="345" t="s">
        <v>20</v>
      </c>
      <c r="S113" s="97" t="s">
        <v>14</v>
      </c>
      <c r="T113" s="98" t="s">
        <v>27</v>
      </c>
      <c r="U113" s="98" t="s">
        <v>28</v>
      </c>
      <c r="V113" s="98" t="s">
        <v>27</v>
      </c>
      <c r="W113" s="98" t="s">
        <v>28</v>
      </c>
      <c r="X113" s="98" t="s">
        <v>29</v>
      </c>
      <c r="Y113" s="66" t="s">
        <v>30</v>
      </c>
      <c r="Z113" s="153" t="s">
        <v>31</v>
      </c>
      <c r="AA113" s="153"/>
      <c r="AB113" s="153"/>
      <c r="AC113" s="154" t="s">
        <v>83</v>
      </c>
      <c r="AD113" s="100" t="s">
        <v>83</v>
      </c>
      <c r="AE113" s="100" t="s">
        <v>83</v>
      </c>
      <c r="AF113" s="100" t="s">
        <v>33</v>
      </c>
      <c r="AG113" s="100" t="s">
        <v>34</v>
      </c>
      <c r="AH113" s="98" t="s">
        <v>32</v>
      </c>
      <c r="AI113" s="98" t="s">
        <v>32</v>
      </c>
      <c r="AJ113" s="98" t="s">
        <v>50</v>
      </c>
      <c r="AK113" s="101" t="s">
        <v>36</v>
      </c>
      <c r="AM113" s="97" t="str">
        <f>informatieblad!$A$6</f>
        <v>FL20</v>
      </c>
      <c r="AN113" s="99"/>
      <c r="AO113" s="99"/>
      <c r="AP113" s="97" t="str">
        <f>informatieblad!$A$7</f>
        <v>FL30</v>
      </c>
      <c r="AQ113" s="99"/>
      <c r="AR113" s="66"/>
      <c r="AS113" s="99" t="str">
        <f>informatieblad!$A$8</f>
        <v>FL40</v>
      </c>
      <c r="AT113" s="99"/>
      <c r="AU113" s="66"/>
      <c r="AV113" s="97" t="str">
        <f>informatieblad!$A$5</f>
        <v>none</v>
      </c>
      <c r="AW113" s="99"/>
      <c r="AX113" s="264"/>
      <c r="AY113" s="83"/>
      <c r="AZ113" s="266" t="s">
        <v>17</v>
      </c>
      <c r="BA113" s="131"/>
      <c r="BB113" s="266" t="s">
        <v>37</v>
      </c>
      <c r="BC113" s="131"/>
      <c r="BD113" s="269" t="s">
        <v>38</v>
      </c>
      <c r="BE113" s="272"/>
      <c r="BF113" s="272"/>
      <c r="BG113" s="289">
        <f>informatieblad!$B$3</f>
        <v>0</v>
      </c>
      <c r="BH113" s="272"/>
      <c r="BI113" s="272"/>
      <c r="BJ113" s="289">
        <f>informatieblad!$B$4</f>
        <v>0</v>
      </c>
      <c r="BK113" s="272"/>
      <c r="BL113" s="264"/>
    </row>
    <row r="114" spans="1:64" ht="15" customHeight="1">
      <c r="A114" s="446"/>
      <c r="B114" s="202" t="str">
        <f>IF($C115&gt;0,IF(MAX(B113,E113)&lt;informatieblad!$Q$4,informatieblad!$P$3,IF(MAX(B113,E113)&gt;informatieblad!$R$4,informatieblad!$P$5,informatieblad!$P$4)),"")</f>
        <v/>
      </c>
      <c r="C114" s="202" t="str">
        <f>IF($C115&gt;0,IF(MAX(C113,E113)&lt;informatieblad!$Q$4,informatieblad!$P$3,IF(MAX(C113,E113)&gt;informatieblad!$R$4,informatieblad!$P$5,informatieblad!$P$4)),"")</f>
        <v/>
      </c>
      <c r="D114" s="203" t="str">
        <f>IF($C115&gt;0,IF(MAX(D113,E113)&lt;informatieblad!$Q$4,informatieblad!$P$3,IF(MAX(D113,E113)&gt;informatieblad!$R$4,informatieblad!$P$5,informatieblad!$P$4)),"")</f>
        <v/>
      </c>
      <c r="E114" s="190" t="str">
        <f>A113&amp;"-"&amp;informatieblad!$B$16&amp;"-"&amp;B113&amp;"-"&amp;C113&amp;"-"&amp;D113&amp;"-"&amp;E113&amp;"-"&amp;F113&amp;"-"&amp;G113&amp;"-"&amp;H113&amp;"-"&amp;I113&amp;"-"&amp;B114&amp;"-"&amp;C114&amp;"-"&amp;D114&amp;"-"&amp;G115</f>
        <v>-RctT--0---0-0-0-0----Options None</v>
      </c>
      <c r="F114" s="174"/>
      <c r="G114" s="174"/>
      <c r="H114" s="174"/>
      <c r="I114" s="199"/>
      <c r="J114" s="83"/>
      <c r="S114" s="103">
        <f>A113</f>
        <v>0</v>
      </c>
      <c r="T114" s="104" t="s">
        <v>39</v>
      </c>
      <c r="U114" s="104" t="s">
        <v>39</v>
      </c>
      <c r="V114" s="104" t="s">
        <v>40</v>
      </c>
      <c r="W114" s="104" t="s">
        <v>40</v>
      </c>
      <c r="X114" s="104" t="s">
        <v>40</v>
      </c>
      <c r="Y114" s="105"/>
      <c r="Z114" s="155" t="s">
        <v>27</v>
      </c>
      <c r="AA114" s="155" t="s">
        <v>40</v>
      </c>
      <c r="AB114" s="155" t="s">
        <v>41</v>
      </c>
      <c r="AC114" s="156" t="s">
        <v>109</v>
      </c>
      <c r="AD114" s="104" t="s">
        <v>110</v>
      </c>
      <c r="AE114" s="107" t="s">
        <v>95</v>
      </c>
      <c r="AF114" s="107" t="s">
        <v>44</v>
      </c>
      <c r="AG114" s="107"/>
      <c r="AH114" s="104" t="s">
        <v>40</v>
      </c>
      <c r="AI114" s="104" t="s">
        <v>41</v>
      </c>
      <c r="AJ114" s="108"/>
      <c r="AK114" s="109"/>
      <c r="AM114" s="262" t="str">
        <f>informatieblad!$A$2</f>
        <v>FL20 loose</v>
      </c>
      <c r="AN114" s="263"/>
      <c r="AO114" s="263"/>
      <c r="AP114" s="262" t="str">
        <f>informatieblad!$A$3</f>
        <v>FL30 loose</v>
      </c>
      <c r="AQ114" s="263"/>
      <c r="AR114" s="105"/>
      <c r="AS114" s="263" t="str">
        <f>informatieblad!$A$4</f>
        <v>FL40 loose</v>
      </c>
      <c r="AT114" s="263"/>
      <c r="AU114" s="105"/>
      <c r="AV114" s="265"/>
      <c r="AW114" s="106"/>
      <c r="AX114" s="105"/>
      <c r="AY114" s="83"/>
      <c r="AZ114" s="267"/>
      <c r="BA114" s="83"/>
      <c r="BB114" s="267"/>
      <c r="BC114" s="83"/>
      <c r="BD114" s="265" t="s">
        <v>47</v>
      </c>
      <c r="BE114" s="106" t="s">
        <v>48</v>
      </c>
      <c r="BF114" s="106" t="s">
        <v>48</v>
      </c>
      <c r="BG114" s="290" t="s">
        <v>23</v>
      </c>
      <c r="BH114" s="83" t="s">
        <v>23</v>
      </c>
      <c r="BI114" s="83" t="s">
        <v>23</v>
      </c>
      <c r="BJ114" s="290" t="s">
        <v>23</v>
      </c>
      <c r="BK114" s="83" t="s">
        <v>23</v>
      </c>
      <c r="BL114" s="273" t="s">
        <v>23</v>
      </c>
    </row>
    <row r="115" spans="1:64" ht="15" customHeight="1" thickBot="1">
      <c r="A115" s="447"/>
      <c r="B115" s="92" t="s">
        <v>23</v>
      </c>
      <c r="C115" s="110"/>
      <c r="D115" s="94">
        <f>C115*U115</f>
        <v>0</v>
      </c>
      <c r="E115" s="141" t="s">
        <v>24</v>
      </c>
      <c r="F115" s="200"/>
      <c r="G115" s="457" t="s">
        <v>25</v>
      </c>
      <c r="H115" s="491"/>
      <c r="I115" s="492"/>
      <c r="J115" s="176"/>
      <c r="S115" s="111"/>
      <c r="T115" s="112">
        <f>(((2*(B113+E113))*(D113+G113+H113+F113))+((2*(D113+E113))*(C113+I113+F113)))/1000000</f>
        <v>0</v>
      </c>
      <c r="U115" s="112">
        <f>((IF(T115&lt;=informatieblad!$I$16,informatieblad!$I$16,IF(T115&gt;=informatieblad!$I$16,T115))))</f>
        <v>0.5</v>
      </c>
      <c r="V115" s="112">
        <f>(((2*(B113+E113))*(D113+G113+H113+F113))+((2*(D113+E113))*(C113+I113+F113)))/1000000</f>
        <v>0</v>
      </c>
      <c r="W115" s="112">
        <f>((IF(V115&lt;=informatieblad!$H$16,informatieblad!$H$16,IF(V115&gt;=informatieblad!$H$16,V115))))</f>
        <v>0</v>
      </c>
      <c r="X115" s="113">
        <f>((W115*AH115)+(W115*AA115))*C115</f>
        <v>0</v>
      </c>
      <c r="Y115" s="114">
        <f>((U115*AI115)+(U115*AB115))*C115</f>
        <v>0</v>
      </c>
      <c r="Z115" s="115" t="str">
        <f>G115</f>
        <v>Options None</v>
      </c>
      <c r="AA115" s="115">
        <f>VLOOKUP(G115,informatieblad!$A$37:$D$41,2,FALSE)</f>
        <v>0</v>
      </c>
      <c r="AB115" s="115">
        <f>VLOOKUP(G115,informatieblad!$A$37:$D$41,4,FALSE)</f>
        <v>0</v>
      </c>
      <c r="AC115" s="180">
        <f>(MAX(J113,K113))</f>
        <v>0</v>
      </c>
      <c r="AD115" s="119">
        <f>(MAX(L113,M113))</f>
        <v>0</v>
      </c>
      <c r="AE115" s="119">
        <f>(MAX(J113,L113))</f>
        <v>0</v>
      </c>
      <c r="AF115" s="119">
        <f>(MAX(B113:E113))</f>
        <v>0</v>
      </c>
      <c r="AG115" s="119">
        <f>LOOKUP(AF115,informatieblad!$C$27:$C$32,informatieblad!$A$27:$A$32)</f>
        <v>0.5</v>
      </c>
      <c r="AH115" s="118">
        <f>VLOOKUP(AG115,informatieblad!$A$27:$M$32,6,FALSE)</f>
        <v>0</v>
      </c>
      <c r="AI115" s="118">
        <f>VLOOKUP(AG115,informatieblad!$A$27:$M$32,8,FALSE)</f>
        <v>45.1248</v>
      </c>
      <c r="AJ115" s="120">
        <f>VLOOKUP(AG115,informatieblad!$A$27:$M$32,13,FALSE)</f>
        <v>4</v>
      </c>
      <c r="AK115" s="121">
        <f>ROUND((AJ115*V115),1)</f>
        <v>0</v>
      </c>
      <c r="AM115" s="111">
        <f>(IF(B114=AM113,((2*B113)+(2*E113)),IF(B114=AM114,((2*B113)+(2*E113)),0)))*C115</f>
        <v>0</v>
      </c>
      <c r="AN115" s="261">
        <f>(IF(C114=AM113,((2*C113)+(2*E113)),IF(C114=AM114,((2*C113)+(2*E113)),0)))*C115</f>
        <v>0</v>
      </c>
      <c r="AO115" s="261">
        <f>(IF(D114=AM113,((2*D113)+(2*E113)),IF(D114=AM114,((2*D113)+(2*E113)),0)))*C115</f>
        <v>0</v>
      </c>
      <c r="AP115" s="111">
        <f>(IF(B114=AP113,((2*B113)+(2*E113)),IF(B114=AP114,((2*B113)+(2*E113)),0)))*C115</f>
        <v>0</v>
      </c>
      <c r="AQ115" s="261">
        <f>(IF(C114=AP113,((2*C113)+(2*E113)),IF(C114=AP114,((2*C113)+(2*E113)),0)))*C115</f>
        <v>0</v>
      </c>
      <c r="AR115" s="260">
        <f>(IF(D114=AP113,((2*D113)+(2*E113)),IF(D114=AP114,((2*D113)+(2*E113)),0)))*C115</f>
        <v>0</v>
      </c>
      <c r="AS115" s="261">
        <f>(IF(B114=AS113,((2*B113)+(2*E113)),IF(B114=AS114,((2*B113)+(2*E113)),0)))*C115</f>
        <v>0</v>
      </c>
      <c r="AT115" s="261">
        <f>(IF(C114=AS113,((2*C113)+(2*E113)),IF(C114=AS114,((2*C113)+(2*E113)),0)))*C115</f>
        <v>0</v>
      </c>
      <c r="AU115" s="260">
        <f>(IF(D114=AS113,((2*D113)+(2*E113)),IF(D114=AS114,((2*D113)+(2*E113)),0)))*C115</f>
        <v>0</v>
      </c>
      <c r="AV115" s="111">
        <f>(IF(B114=AV113,((2*B113)+(2*E113)),0))*C115</f>
        <v>0</v>
      </c>
      <c r="AW115" s="261">
        <f>(IF(C114=AV113,((2*C113)+(2*E113)),0))*C115</f>
        <v>0</v>
      </c>
      <c r="AX115" s="260">
        <f>(IF(D114=AV113,((2*D113)+(2*E113)),0))*C115</f>
        <v>0</v>
      </c>
      <c r="AY115" s="83"/>
      <c r="AZ115" s="268">
        <f>(D113+H101+H101+G113+I113)*C115</f>
        <v>0</v>
      </c>
      <c r="BA115" s="83"/>
      <c r="BB115" s="268">
        <f>(AE115+100)*C115</f>
        <v>0</v>
      </c>
      <c r="BC115" s="83"/>
      <c r="BD115" s="111" t="str">
        <f>IF(B114=informatieblad!$A$6,informatieblad!$B$6,IF(B114=informatieblad!$A$7,informatieblad!$B$7,IF(B114=informatieblad!$A$8,informatieblad!$B$8,IF(B114=informatieblad!$A$2,informatieblad!$B$2,IF(B114=informatieblad!$A$3,informatieblad!$B$3,IF(B114=informatieblad!$A$4,informatieblad!$B$4,IF(B114=informatieblad!$A$5,informatieblad!$B$5,"")))))))</f>
        <v/>
      </c>
      <c r="BE115" s="275" t="str">
        <f>IF(C114=informatieblad!$A$6,informatieblad!$B$6,IF(C114=informatieblad!$A$7,informatieblad!$B$7,IF(C114=informatieblad!$A$8,informatieblad!$B$8,IF(C114=informatieblad!$A$2,informatieblad!$B$2,IF(C114=informatieblad!$A$3,informatieblad!$B$3,IF(C114=informatieblad!$A$4,informatieblad!$B$4,IF(C114=informatieblad!$A$5,informatieblad!$B$5,"")))))))</f>
        <v/>
      </c>
      <c r="BF115" s="276" t="str">
        <f>IF(D114=informatieblad!$A$6,informatieblad!$B$6,IF(D114=informatieblad!$A$7,informatieblad!$B$7,IF(D114=informatieblad!$A$8,informatieblad!$B$8,IF(D114=informatieblad!$A$2,informatieblad!$B$2,IF(D114=informatieblad!$A$3,informatieblad!$B$3,IF(D114=informatieblad!$A$4,informatieblad!$B$4,IF(D114=informatieblad!$A$5,informatieblad!$B$5,"")))))))</f>
        <v/>
      </c>
      <c r="BG115" s="276">
        <f>IF(BD115=BG113,(4*C115),0)</f>
        <v>0</v>
      </c>
      <c r="BH115" s="276">
        <f>IF(BE115=BG113,(4*C115),0)</f>
        <v>0</v>
      </c>
      <c r="BI115" s="276">
        <f>IF(BF115=BG113,(4*C115),0)</f>
        <v>0</v>
      </c>
      <c r="BJ115" s="275">
        <f>IF(BD115=BJ113,(4*C115),0)</f>
        <v>0</v>
      </c>
      <c r="BK115" s="276">
        <f>IF(BE115=BJ113,(4*C115),0)</f>
        <v>0</v>
      </c>
      <c r="BL115" s="274">
        <f>IF(BF115=BJ113,(4*C115),0)</f>
        <v>0</v>
      </c>
    </row>
    <row r="116" spans="1:64" ht="5.0999999999999996" customHeight="1" thickBot="1">
      <c r="A116" s="145"/>
      <c r="B116" s="122"/>
      <c r="C116" s="122"/>
      <c r="D116" s="122"/>
      <c r="E116" s="122"/>
      <c r="F116" s="122"/>
      <c r="G116" s="122"/>
      <c r="H116" s="122"/>
      <c r="I116" s="146"/>
    </row>
    <row r="117" spans="1:64" ht="15" customHeight="1" thickBot="1">
      <c r="A117" s="445"/>
      <c r="B117" s="96"/>
      <c r="C117" s="300">
        <f>B117</f>
        <v>0</v>
      </c>
      <c r="D117" s="96"/>
      <c r="E117" s="96"/>
      <c r="F117" s="300">
        <f>(B117&gt;0)*$H$9</f>
        <v>0</v>
      </c>
      <c r="G117" s="300">
        <f>(C117&gt;0)*$H$10</f>
        <v>0</v>
      </c>
      <c r="H117" s="300">
        <f>(D117&gt;0)*$H$11</f>
        <v>0</v>
      </c>
      <c r="I117" s="302">
        <f>(E117&gt;0)*$H$12</f>
        <v>0</v>
      </c>
      <c r="J117" s="345" t="s">
        <v>20</v>
      </c>
      <c r="S117" s="97" t="s">
        <v>14</v>
      </c>
      <c r="T117" s="98" t="s">
        <v>27</v>
      </c>
      <c r="U117" s="98" t="s">
        <v>28</v>
      </c>
      <c r="V117" s="98" t="s">
        <v>27</v>
      </c>
      <c r="W117" s="98" t="s">
        <v>28</v>
      </c>
      <c r="X117" s="98" t="s">
        <v>29</v>
      </c>
      <c r="Y117" s="66" t="s">
        <v>30</v>
      </c>
      <c r="Z117" s="153" t="s">
        <v>31</v>
      </c>
      <c r="AA117" s="153"/>
      <c r="AB117" s="153"/>
      <c r="AC117" s="154" t="s">
        <v>83</v>
      </c>
      <c r="AD117" s="100" t="s">
        <v>83</v>
      </c>
      <c r="AE117" s="100" t="s">
        <v>83</v>
      </c>
      <c r="AF117" s="100" t="s">
        <v>33</v>
      </c>
      <c r="AG117" s="100" t="s">
        <v>34</v>
      </c>
      <c r="AH117" s="98" t="s">
        <v>32</v>
      </c>
      <c r="AI117" s="98" t="s">
        <v>32</v>
      </c>
      <c r="AJ117" s="98" t="s">
        <v>50</v>
      </c>
      <c r="AK117" s="101" t="s">
        <v>36</v>
      </c>
      <c r="AM117" s="97" t="str">
        <f>informatieblad!$A$6</f>
        <v>FL20</v>
      </c>
      <c r="AN117" s="99"/>
      <c r="AO117" s="99"/>
      <c r="AP117" s="97" t="str">
        <f>informatieblad!$A$7</f>
        <v>FL30</v>
      </c>
      <c r="AQ117" s="99"/>
      <c r="AR117" s="66"/>
      <c r="AS117" s="99" t="str">
        <f>informatieblad!$A$8</f>
        <v>FL40</v>
      </c>
      <c r="AT117" s="99"/>
      <c r="AU117" s="66"/>
      <c r="AV117" s="97" t="str">
        <f>informatieblad!$A$5</f>
        <v>none</v>
      </c>
      <c r="AW117" s="99"/>
      <c r="AX117" s="264"/>
      <c r="AY117" s="83"/>
      <c r="AZ117" s="266" t="s">
        <v>17</v>
      </c>
      <c r="BA117" s="131"/>
      <c r="BB117" s="266" t="s">
        <v>37</v>
      </c>
      <c r="BC117" s="131"/>
      <c r="BD117" s="269" t="s">
        <v>38</v>
      </c>
      <c r="BE117" s="272"/>
      <c r="BF117" s="272"/>
      <c r="BG117" s="289">
        <f>informatieblad!$B$3</f>
        <v>0</v>
      </c>
      <c r="BH117" s="272"/>
      <c r="BI117" s="272"/>
      <c r="BJ117" s="289">
        <f>informatieblad!$B$4</f>
        <v>0</v>
      </c>
      <c r="BK117" s="272"/>
      <c r="BL117" s="264"/>
    </row>
    <row r="118" spans="1:64" ht="15" customHeight="1">
      <c r="A118" s="446"/>
      <c r="B118" s="202" t="str">
        <f>IF($C119&gt;0,IF(MAX(B117,E117)&lt;informatieblad!$Q$4,informatieblad!$P$3,IF(MAX(B117,E117)&gt;informatieblad!$R$4,informatieblad!$P$5,informatieblad!$P$4)),"")</f>
        <v/>
      </c>
      <c r="C118" s="202" t="str">
        <f>IF($C119&gt;0,IF(MAX(C117,E117)&lt;informatieblad!$Q$4,informatieblad!$P$3,IF(MAX(C117,E117)&gt;informatieblad!$R$4,informatieblad!$P$5,informatieblad!$P$4)),"")</f>
        <v/>
      </c>
      <c r="D118" s="203" t="str">
        <f>IF($C119&gt;0,IF(MAX(D117,E117)&lt;informatieblad!$Q$4,informatieblad!$P$3,IF(MAX(D117,E117)&gt;informatieblad!$R$4,informatieblad!$P$5,informatieblad!$P$4)),"")</f>
        <v/>
      </c>
      <c r="E118" s="190" t="str">
        <f>A117&amp;"-"&amp;informatieblad!$B$16&amp;"-"&amp;B117&amp;"-"&amp;C117&amp;"-"&amp;D117&amp;"-"&amp;E117&amp;"-"&amp;F117&amp;"-"&amp;G117&amp;"-"&amp;H117&amp;"-"&amp;I117&amp;"-"&amp;B118&amp;"-"&amp;C118&amp;"-"&amp;D118&amp;"-"&amp;G119</f>
        <v>-RctT--0---0-0-0-0----Options None</v>
      </c>
      <c r="F118" s="174"/>
      <c r="G118" s="174"/>
      <c r="H118" s="174"/>
      <c r="I118" s="199"/>
      <c r="J118" s="83"/>
      <c r="S118" s="103">
        <f>A117</f>
        <v>0</v>
      </c>
      <c r="T118" s="104" t="s">
        <v>39</v>
      </c>
      <c r="U118" s="104" t="s">
        <v>39</v>
      </c>
      <c r="V118" s="104" t="s">
        <v>40</v>
      </c>
      <c r="W118" s="104" t="s">
        <v>40</v>
      </c>
      <c r="X118" s="104" t="s">
        <v>40</v>
      </c>
      <c r="Y118" s="105"/>
      <c r="Z118" s="155" t="s">
        <v>27</v>
      </c>
      <c r="AA118" s="155" t="s">
        <v>40</v>
      </c>
      <c r="AB118" s="155" t="s">
        <v>41</v>
      </c>
      <c r="AC118" s="156" t="s">
        <v>109</v>
      </c>
      <c r="AD118" s="104" t="s">
        <v>110</v>
      </c>
      <c r="AE118" s="107" t="s">
        <v>95</v>
      </c>
      <c r="AF118" s="107" t="s">
        <v>44</v>
      </c>
      <c r="AG118" s="107"/>
      <c r="AH118" s="104" t="s">
        <v>40</v>
      </c>
      <c r="AI118" s="104" t="s">
        <v>41</v>
      </c>
      <c r="AJ118" s="108"/>
      <c r="AK118" s="109"/>
      <c r="AM118" s="262" t="str">
        <f>informatieblad!$A$2</f>
        <v>FL20 loose</v>
      </c>
      <c r="AN118" s="263"/>
      <c r="AO118" s="263"/>
      <c r="AP118" s="262" t="str">
        <f>informatieblad!$A$3</f>
        <v>FL30 loose</v>
      </c>
      <c r="AQ118" s="263"/>
      <c r="AR118" s="105"/>
      <c r="AS118" s="263" t="str">
        <f>informatieblad!$A$4</f>
        <v>FL40 loose</v>
      </c>
      <c r="AT118" s="263"/>
      <c r="AU118" s="105"/>
      <c r="AV118" s="265"/>
      <c r="AW118" s="106"/>
      <c r="AX118" s="105"/>
      <c r="AY118" s="83"/>
      <c r="AZ118" s="267"/>
      <c r="BA118" s="83"/>
      <c r="BB118" s="267"/>
      <c r="BC118" s="83"/>
      <c r="BD118" s="265" t="s">
        <v>47</v>
      </c>
      <c r="BE118" s="106" t="s">
        <v>48</v>
      </c>
      <c r="BF118" s="106" t="s">
        <v>48</v>
      </c>
      <c r="BG118" s="290" t="s">
        <v>23</v>
      </c>
      <c r="BH118" s="83" t="s">
        <v>23</v>
      </c>
      <c r="BI118" s="83" t="s">
        <v>23</v>
      </c>
      <c r="BJ118" s="290" t="s">
        <v>23</v>
      </c>
      <c r="BK118" s="83" t="s">
        <v>23</v>
      </c>
      <c r="BL118" s="273" t="s">
        <v>23</v>
      </c>
    </row>
    <row r="119" spans="1:64" ht="15.75" thickBot="1">
      <c r="A119" s="447"/>
      <c r="B119" s="92" t="s">
        <v>23</v>
      </c>
      <c r="C119" s="110"/>
      <c r="D119" s="94">
        <f>C119*U119</f>
        <v>0</v>
      </c>
      <c r="E119" s="141" t="s">
        <v>24</v>
      </c>
      <c r="F119" s="200"/>
      <c r="G119" s="457" t="s">
        <v>25</v>
      </c>
      <c r="H119" s="491"/>
      <c r="I119" s="492"/>
      <c r="J119" s="176"/>
      <c r="S119" s="111"/>
      <c r="T119" s="112">
        <f>(((2*(B117+E117))*(D117+G117+H117+F117))+((2*(D117+E117))*(C117+I117+F117)))/1000000</f>
        <v>0</v>
      </c>
      <c r="U119" s="112">
        <f>((IF(T119&lt;=informatieblad!$I$16,informatieblad!$I$16,IF(T119&gt;=informatieblad!$I$16,T119))))</f>
        <v>0.5</v>
      </c>
      <c r="V119" s="112">
        <f>(((2*(B117+E117))*(D117+G117+H117+F117))+((2*(D117+E117))*(C117+I117+F117)))/1000000</f>
        <v>0</v>
      </c>
      <c r="W119" s="112">
        <f>((IF(V119&lt;=informatieblad!$H$16,informatieblad!$H$16,IF(V119&gt;=informatieblad!$H$16,V119))))</f>
        <v>0</v>
      </c>
      <c r="X119" s="113">
        <f>((W119*AH119)+(W119*AA119))*C119</f>
        <v>0</v>
      </c>
      <c r="Y119" s="114">
        <f>((U119*AI119)+(U119*AB119))*C119</f>
        <v>0</v>
      </c>
      <c r="Z119" s="115" t="str">
        <f>G119</f>
        <v>Options None</v>
      </c>
      <c r="AA119" s="115">
        <f>VLOOKUP(G119,informatieblad!$A$37:$D$41,2,FALSE)</f>
        <v>0</v>
      </c>
      <c r="AB119" s="115">
        <f>VLOOKUP(G119,informatieblad!$A$37:$D$41,4,FALSE)</f>
        <v>0</v>
      </c>
      <c r="AC119" s="180">
        <f>(MAX(J117,K117))</f>
        <v>0</v>
      </c>
      <c r="AD119" s="119">
        <f>(MAX(L117,M117))</f>
        <v>0</v>
      </c>
      <c r="AE119" s="119">
        <f>(MAX(J117,L117))</f>
        <v>0</v>
      </c>
      <c r="AF119" s="119">
        <f>(MAX(B117:E117))</f>
        <v>0</v>
      </c>
      <c r="AG119" s="119">
        <f>LOOKUP(AF119,informatieblad!$C$27:$C$32,informatieblad!$A$27:$A$32)</f>
        <v>0.5</v>
      </c>
      <c r="AH119" s="118">
        <f>VLOOKUP(AG119,informatieblad!$A$27:$M$32,6,FALSE)</f>
        <v>0</v>
      </c>
      <c r="AI119" s="118">
        <f>VLOOKUP(AG119,informatieblad!$A$27:$M$32,8,FALSE)</f>
        <v>45.1248</v>
      </c>
      <c r="AJ119" s="120">
        <f>VLOOKUP(AG119,informatieblad!$A$27:$M$32,13,FALSE)</f>
        <v>4</v>
      </c>
      <c r="AK119" s="121">
        <f>ROUND((AJ119*V119),1)</f>
        <v>0</v>
      </c>
      <c r="AM119" s="111">
        <f>(IF(B118=AM117,((2*B117)+(2*E117)),IF(B118=AM118,((2*B117)+(2*E117)),0)))*C119</f>
        <v>0</v>
      </c>
      <c r="AN119" s="261">
        <f>(IF(C118=AM117,((2*C117)+(2*E117)),IF(C118=AM118,((2*C117)+(2*E117)),0)))*C119</f>
        <v>0</v>
      </c>
      <c r="AO119" s="261">
        <f>(IF(D118=AM117,((2*D117)+(2*E117)),IF(D118=AM118,((2*D117)+(2*E117)),0)))*C119</f>
        <v>0</v>
      </c>
      <c r="AP119" s="111">
        <f>(IF(B118=AP117,((2*B117)+(2*E117)),IF(B118=AP118,((2*B117)+(2*E117)),0)))*C119</f>
        <v>0</v>
      </c>
      <c r="AQ119" s="261">
        <f>(IF(C118=AP117,((2*C117)+(2*E117)),IF(C118=AP118,((2*C117)+(2*E117)),0)))*C119</f>
        <v>0</v>
      </c>
      <c r="AR119" s="260">
        <f>(IF(D118=AP117,((2*D117)+(2*E117)),IF(D118=AP118,((2*D117)+(2*E117)),0)))*C119</f>
        <v>0</v>
      </c>
      <c r="AS119" s="261">
        <f>(IF(B118=AS117,((2*B117)+(2*E117)),IF(B118=AS118,((2*B117)+(2*E117)),0)))*C119</f>
        <v>0</v>
      </c>
      <c r="AT119" s="261">
        <f>(IF(C118=AS117,((2*C117)+(2*E117)),IF(C118=AS118,((2*C117)+(2*E117)),0)))*C119</f>
        <v>0</v>
      </c>
      <c r="AU119" s="260">
        <f>(IF(D118=AS117,((2*D117)+(2*E117)),IF(D118=AS118,((2*D117)+(2*E117)),0)))*C119</f>
        <v>0</v>
      </c>
      <c r="AV119" s="111">
        <f>(IF(B118=AV117,((2*B117)+(2*E117)),0))*C119</f>
        <v>0</v>
      </c>
      <c r="AW119" s="261">
        <f>(IF(C118=AV117,((2*C117)+(2*E117)),0))*C119</f>
        <v>0</v>
      </c>
      <c r="AX119" s="260">
        <f>(IF(D118=AV117,((2*D117)+(2*E117)),0))*C119</f>
        <v>0</v>
      </c>
      <c r="AY119" s="83"/>
      <c r="AZ119" s="268">
        <f>(D117+H105+H105+G117+I117)*C119</f>
        <v>0</v>
      </c>
      <c r="BA119" s="83"/>
      <c r="BB119" s="268">
        <f>(AE119+100)*C119</f>
        <v>0</v>
      </c>
      <c r="BC119" s="83"/>
      <c r="BD119" s="111" t="str">
        <f>IF(B118=informatieblad!$A$6,informatieblad!$B$6,IF(B118=informatieblad!$A$7,informatieblad!$B$7,IF(B118=informatieblad!$A$8,informatieblad!$B$8,IF(B118=informatieblad!$A$2,informatieblad!$B$2,IF(B118=informatieblad!$A$3,informatieblad!$B$3,IF(B118=informatieblad!$A$4,informatieblad!$B$4,IF(B118=informatieblad!$A$5,informatieblad!$B$5,"")))))))</f>
        <v/>
      </c>
      <c r="BE119" s="275" t="str">
        <f>IF(C118=informatieblad!$A$6,informatieblad!$B$6,IF(C118=informatieblad!$A$7,informatieblad!$B$7,IF(C118=informatieblad!$A$8,informatieblad!$B$8,IF(C118=informatieblad!$A$2,informatieblad!$B$2,IF(C118=informatieblad!$A$3,informatieblad!$B$3,IF(C118=informatieblad!$A$4,informatieblad!$B$4,IF(C118=informatieblad!$A$5,informatieblad!$B$5,"")))))))</f>
        <v/>
      </c>
      <c r="BF119" s="276" t="str">
        <f>IF(D118=informatieblad!$A$6,informatieblad!$B$6,IF(D118=informatieblad!$A$7,informatieblad!$B$7,IF(D118=informatieblad!$A$8,informatieblad!$B$8,IF(D118=informatieblad!$A$2,informatieblad!$B$2,IF(D118=informatieblad!$A$3,informatieblad!$B$3,IF(D118=informatieblad!$A$4,informatieblad!$B$4,IF(D118=informatieblad!$A$5,informatieblad!$B$5,"")))))))</f>
        <v/>
      </c>
      <c r="BG119" s="276">
        <f>IF(BD119=BG117,(4*C119),0)</f>
        <v>0</v>
      </c>
      <c r="BH119" s="276">
        <f>IF(BE119=BG117,(4*C119),0)</f>
        <v>0</v>
      </c>
      <c r="BI119" s="276">
        <f>IF(BF119=BG117,(4*C119),0)</f>
        <v>0</v>
      </c>
      <c r="BJ119" s="275">
        <f>IF(BD119=BJ117,(4*C119),0)</f>
        <v>0</v>
      </c>
      <c r="BK119" s="276">
        <f>IF(BE119=BJ117,(4*C119),0)</f>
        <v>0</v>
      </c>
      <c r="BL119" s="274">
        <f>IF(BF119=BJ117,(4*C119),0)</f>
        <v>0</v>
      </c>
    </row>
    <row r="120" spans="1:64" ht="5.0999999999999996" customHeight="1" thickBot="1">
      <c r="A120" s="145"/>
      <c r="B120" s="122"/>
      <c r="C120" s="122"/>
      <c r="D120" s="122"/>
      <c r="E120" s="122"/>
      <c r="F120" s="122"/>
      <c r="G120" s="122"/>
      <c r="H120" s="122"/>
      <c r="I120" s="146"/>
    </row>
    <row r="121" spans="1:64" ht="14.25" customHeight="1" thickBot="1">
      <c r="A121" s="445"/>
      <c r="B121" s="96"/>
      <c r="C121" s="300">
        <f>B121</f>
        <v>0</v>
      </c>
      <c r="D121" s="96"/>
      <c r="E121" s="96"/>
      <c r="F121" s="300">
        <f>(B121&gt;0)*$H$9</f>
        <v>0</v>
      </c>
      <c r="G121" s="300">
        <f>(C121&gt;0)*$H$10</f>
        <v>0</v>
      </c>
      <c r="H121" s="300">
        <f>(D121&gt;0)*$H$11</f>
        <v>0</v>
      </c>
      <c r="I121" s="302">
        <f>(E121&gt;0)*$H$12</f>
        <v>0</v>
      </c>
      <c r="J121" s="345" t="s">
        <v>20</v>
      </c>
      <c r="S121" s="97" t="s">
        <v>14</v>
      </c>
      <c r="T121" s="98" t="s">
        <v>27</v>
      </c>
      <c r="U121" s="98" t="s">
        <v>28</v>
      </c>
      <c r="V121" s="98" t="s">
        <v>27</v>
      </c>
      <c r="W121" s="98" t="s">
        <v>28</v>
      </c>
      <c r="X121" s="98" t="s">
        <v>29</v>
      </c>
      <c r="Y121" s="66" t="s">
        <v>30</v>
      </c>
      <c r="Z121" s="153" t="s">
        <v>31</v>
      </c>
      <c r="AA121" s="153"/>
      <c r="AB121" s="153"/>
      <c r="AC121" s="154" t="s">
        <v>83</v>
      </c>
      <c r="AD121" s="100" t="s">
        <v>83</v>
      </c>
      <c r="AE121" s="100" t="s">
        <v>83</v>
      </c>
      <c r="AF121" s="100" t="s">
        <v>33</v>
      </c>
      <c r="AG121" s="100" t="s">
        <v>34</v>
      </c>
      <c r="AH121" s="98" t="s">
        <v>32</v>
      </c>
      <c r="AI121" s="98" t="s">
        <v>32</v>
      </c>
      <c r="AJ121" s="98" t="s">
        <v>50</v>
      </c>
      <c r="AK121" s="101" t="s">
        <v>36</v>
      </c>
      <c r="AM121" s="97" t="str">
        <f>informatieblad!$A$6</f>
        <v>FL20</v>
      </c>
      <c r="AN121" s="99"/>
      <c r="AO121" s="99"/>
      <c r="AP121" s="97" t="str">
        <f>informatieblad!$A$7</f>
        <v>FL30</v>
      </c>
      <c r="AQ121" s="99"/>
      <c r="AR121" s="66"/>
      <c r="AS121" s="99" t="str">
        <f>informatieblad!$A$8</f>
        <v>FL40</v>
      </c>
      <c r="AT121" s="99"/>
      <c r="AU121" s="66"/>
      <c r="AV121" s="97" t="str">
        <f>informatieblad!$A$5</f>
        <v>none</v>
      </c>
      <c r="AW121" s="99"/>
      <c r="AX121" s="264"/>
      <c r="AY121" s="83"/>
      <c r="AZ121" s="266" t="s">
        <v>17</v>
      </c>
      <c r="BA121" s="131"/>
      <c r="BB121" s="266" t="s">
        <v>37</v>
      </c>
      <c r="BC121" s="131"/>
      <c r="BD121" s="269" t="s">
        <v>38</v>
      </c>
      <c r="BE121" s="272"/>
      <c r="BF121" s="272"/>
      <c r="BG121" s="289">
        <f>informatieblad!$B$3</f>
        <v>0</v>
      </c>
      <c r="BH121" s="272"/>
      <c r="BI121" s="272"/>
      <c r="BJ121" s="289">
        <f>informatieblad!$B$4</f>
        <v>0</v>
      </c>
      <c r="BK121" s="272"/>
      <c r="BL121" s="264"/>
    </row>
    <row r="122" spans="1:64" ht="15" customHeight="1">
      <c r="A122" s="446"/>
      <c r="B122" s="202" t="str">
        <f>IF($C123&gt;0,IF(MAX(B121,E121)&lt;informatieblad!$Q$4,informatieblad!$P$3,IF(MAX(B121,E121)&gt;informatieblad!$R$4,informatieblad!$P$5,informatieblad!$P$4)),"")</f>
        <v/>
      </c>
      <c r="C122" s="202" t="str">
        <f>IF($C123&gt;0,IF(MAX(C121,E121)&lt;informatieblad!$Q$4,informatieblad!$P$3,IF(MAX(C121,E121)&gt;informatieblad!$R$4,informatieblad!$P$5,informatieblad!$P$4)),"")</f>
        <v/>
      </c>
      <c r="D122" s="203" t="str">
        <f>IF($C123&gt;0,IF(MAX(D121,E121)&lt;informatieblad!$Q$4,informatieblad!$P$3,IF(MAX(D121,E121)&gt;informatieblad!$R$4,informatieblad!$P$5,informatieblad!$P$4)),"")</f>
        <v/>
      </c>
      <c r="E122" s="204" t="str">
        <f>A121&amp;"-"&amp;informatieblad!$B$16&amp;"-"&amp;B121&amp;"-"&amp;C121&amp;"-"&amp;D121&amp;"-"&amp;E121&amp;"-"&amp;F121&amp;"-"&amp;G121&amp;"-"&amp;H121&amp;"-"&amp;I121&amp;"-"&amp;B122&amp;"-"&amp;C122&amp;"-"&amp;D122&amp;"-"&amp;G123</f>
        <v>-RctT--0---0-0-0-0----Options None</v>
      </c>
      <c r="F122" s="174"/>
      <c r="G122" s="174"/>
      <c r="H122" s="174"/>
      <c r="I122" s="199"/>
      <c r="J122" s="83"/>
      <c r="S122" s="103">
        <f>A121</f>
        <v>0</v>
      </c>
      <c r="T122" s="104" t="s">
        <v>39</v>
      </c>
      <c r="U122" s="104" t="s">
        <v>39</v>
      </c>
      <c r="V122" s="104" t="s">
        <v>40</v>
      </c>
      <c r="W122" s="104" t="s">
        <v>40</v>
      </c>
      <c r="X122" s="104" t="s">
        <v>40</v>
      </c>
      <c r="Y122" s="105"/>
      <c r="Z122" s="155" t="s">
        <v>27</v>
      </c>
      <c r="AA122" s="155" t="s">
        <v>40</v>
      </c>
      <c r="AB122" s="155" t="s">
        <v>41</v>
      </c>
      <c r="AC122" s="156" t="s">
        <v>109</v>
      </c>
      <c r="AD122" s="104" t="s">
        <v>110</v>
      </c>
      <c r="AE122" s="107" t="s">
        <v>95</v>
      </c>
      <c r="AF122" s="107" t="s">
        <v>44</v>
      </c>
      <c r="AG122" s="107"/>
      <c r="AH122" s="104" t="s">
        <v>40</v>
      </c>
      <c r="AI122" s="104" t="s">
        <v>41</v>
      </c>
      <c r="AJ122" s="108"/>
      <c r="AK122" s="109"/>
      <c r="AM122" s="262" t="str">
        <f>informatieblad!$A$2</f>
        <v>FL20 loose</v>
      </c>
      <c r="AN122" s="263"/>
      <c r="AO122" s="263"/>
      <c r="AP122" s="262" t="str">
        <f>informatieblad!$A$3</f>
        <v>FL30 loose</v>
      </c>
      <c r="AQ122" s="263"/>
      <c r="AR122" s="105"/>
      <c r="AS122" s="263" t="str">
        <f>informatieblad!$A$4</f>
        <v>FL40 loose</v>
      </c>
      <c r="AT122" s="263"/>
      <c r="AU122" s="105"/>
      <c r="AV122" s="265"/>
      <c r="AW122" s="106"/>
      <c r="AX122" s="105"/>
      <c r="AY122" s="83"/>
      <c r="AZ122" s="267"/>
      <c r="BA122" s="83"/>
      <c r="BB122" s="267"/>
      <c r="BC122" s="83"/>
      <c r="BD122" s="265" t="s">
        <v>47</v>
      </c>
      <c r="BE122" s="106" t="s">
        <v>48</v>
      </c>
      <c r="BF122" s="106" t="s">
        <v>48</v>
      </c>
      <c r="BG122" s="290" t="s">
        <v>23</v>
      </c>
      <c r="BH122" s="83" t="s">
        <v>23</v>
      </c>
      <c r="BI122" s="83" t="s">
        <v>23</v>
      </c>
      <c r="BJ122" s="290" t="s">
        <v>23</v>
      </c>
      <c r="BK122" s="83" t="s">
        <v>23</v>
      </c>
      <c r="BL122" s="273" t="s">
        <v>23</v>
      </c>
    </row>
    <row r="123" spans="1:64" ht="15.75" thickBot="1">
      <c r="A123" s="447"/>
      <c r="B123" s="92" t="s">
        <v>23</v>
      </c>
      <c r="C123" s="110"/>
      <c r="D123" s="94">
        <f>C123*U123</f>
        <v>0</v>
      </c>
      <c r="E123" s="141" t="s">
        <v>24</v>
      </c>
      <c r="F123" s="200"/>
      <c r="G123" s="451" t="s">
        <v>25</v>
      </c>
      <c r="H123" s="522"/>
      <c r="I123" s="523"/>
      <c r="J123" s="176"/>
      <c r="S123" s="111"/>
      <c r="T123" s="112">
        <f>(((2*(B121+E121))*(D121+G121+H121+F121))+((2*(D121+E121))*(C121+I121+F121)))/1000000</f>
        <v>0</v>
      </c>
      <c r="U123" s="112">
        <f>((IF(T123&lt;=informatieblad!$I$16,informatieblad!$I$16,IF(T123&gt;=informatieblad!$I$16,T123))))</f>
        <v>0.5</v>
      </c>
      <c r="V123" s="112">
        <f>(((2*(B121+E121))*(D121+G121+H121+F121))+((2*(D121+E121))*(C121+I121+F121)))/1000000</f>
        <v>0</v>
      </c>
      <c r="W123" s="112">
        <f>((IF(V123&lt;=informatieblad!$H$16,informatieblad!$H$16,IF(V123&gt;=informatieblad!$H$16,V123))))</f>
        <v>0</v>
      </c>
      <c r="X123" s="113">
        <f>((W123*AH123)+(W123*AA123))*C123</f>
        <v>0</v>
      </c>
      <c r="Y123" s="114">
        <f>((U123*AI123)+(U123*AB123))*C123</f>
        <v>0</v>
      </c>
      <c r="Z123" s="115" t="str">
        <f>G123</f>
        <v>Options None</v>
      </c>
      <c r="AA123" s="115">
        <f>VLOOKUP(G123,informatieblad!$A$37:$D$41,2,FALSE)</f>
        <v>0</v>
      </c>
      <c r="AB123" s="115">
        <f>VLOOKUP(G123,informatieblad!$A$37:$D$41,4,FALSE)</f>
        <v>0</v>
      </c>
      <c r="AC123" s="180">
        <f>(MAX(J121,K121))</f>
        <v>0</v>
      </c>
      <c r="AD123" s="119">
        <f>(MAX(L121,M121))</f>
        <v>0</v>
      </c>
      <c r="AE123" s="119">
        <f>(MAX(J121,L121))</f>
        <v>0</v>
      </c>
      <c r="AF123" s="119">
        <f>(MAX(B121:E121))</f>
        <v>0</v>
      </c>
      <c r="AG123" s="119">
        <f>LOOKUP(AF123,informatieblad!$C$27:$C$32,informatieblad!$A$27:$A$32)</f>
        <v>0.5</v>
      </c>
      <c r="AH123" s="118">
        <f>VLOOKUP(AG123,informatieblad!$A$27:$M$32,6,FALSE)</f>
        <v>0</v>
      </c>
      <c r="AI123" s="118">
        <f>VLOOKUP(AG123,informatieblad!$A$27:$M$32,8,FALSE)</f>
        <v>45.1248</v>
      </c>
      <c r="AJ123" s="120">
        <f>VLOOKUP(AG123,informatieblad!$A$27:$M$32,13,FALSE)</f>
        <v>4</v>
      </c>
      <c r="AK123" s="121">
        <f>ROUND((AJ123*V123),1)</f>
        <v>0</v>
      </c>
      <c r="AM123" s="111">
        <f>(IF(B122=AM121,((2*B121)+(2*E121)),IF(B122=AM122,((2*B121)+(2*E121)),0)))*C123</f>
        <v>0</v>
      </c>
      <c r="AN123" s="261">
        <f>(IF(C122=AM121,((2*C121)+(2*E121)),IF(C122=AM122,((2*C121)+(2*E121)),0)))*C123</f>
        <v>0</v>
      </c>
      <c r="AO123" s="261">
        <f>(IF(D122=AM121,((2*D121)+(2*E121)),IF(D122=AM122,((2*D121)+(2*E121)),0)))*C123</f>
        <v>0</v>
      </c>
      <c r="AP123" s="111">
        <f>(IF(B122=AP121,((2*B121)+(2*E121)),IF(B122=AP122,((2*B121)+(2*E121)),0)))*C123</f>
        <v>0</v>
      </c>
      <c r="AQ123" s="261">
        <f>(IF(C122=AP121,((2*C121)+(2*E121)),IF(C122=AP122,((2*C121)+(2*E121)),0)))*C123</f>
        <v>0</v>
      </c>
      <c r="AR123" s="260">
        <f>(IF(D122=AP121,((2*D121)+(2*E121)),IF(D122=AP122,((2*D121)+(2*E121)),0)))*C123</f>
        <v>0</v>
      </c>
      <c r="AS123" s="261">
        <f>(IF(B122=AS121,((2*B121)+(2*E121)),IF(B122=AS122,((2*B121)+(2*E121)),0)))*C123</f>
        <v>0</v>
      </c>
      <c r="AT123" s="261">
        <f>(IF(C122=AS121,((2*C121)+(2*E121)),IF(C122=AS122,((2*C121)+(2*E121)),0)))*C123</f>
        <v>0</v>
      </c>
      <c r="AU123" s="260">
        <f>(IF(D122=AS121,((2*D121)+(2*E121)),IF(D122=AS122,((2*D121)+(2*E121)),0)))*C123</f>
        <v>0</v>
      </c>
      <c r="AV123" s="111">
        <f>(IF(B122=AV121,((2*B121)+(2*E121)),0))*C123</f>
        <v>0</v>
      </c>
      <c r="AW123" s="261">
        <f>(IF(C122=AV121,((2*C121)+(2*E121)),0))*C123</f>
        <v>0</v>
      </c>
      <c r="AX123" s="260">
        <f>(IF(D122=AV121,((2*D121)+(2*E121)),0))*C123</f>
        <v>0</v>
      </c>
      <c r="AY123" s="83"/>
      <c r="AZ123" s="268">
        <f>(D121+H109+H109+G121+I121)*C123</f>
        <v>0</v>
      </c>
      <c r="BA123" s="83"/>
      <c r="BB123" s="268">
        <f>(AE123+100)*C123</f>
        <v>0</v>
      </c>
      <c r="BC123" s="83"/>
      <c r="BD123" s="111" t="str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/>
      </c>
      <c r="BE123" s="275" t="str">
        <f>IF(C122=informatieblad!$A$6,informatieblad!$B$6,IF(C122=informatieblad!$A$7,informatieblad!$B$7,IF(C122=informatieblad!$A$8,informatieblad!$B$8,IF(C122=informatieblad!$A$2,informatieblad!$B$2,IF(C122=informatieblad!$A$3,informatieblad!$B$3,IF(C122=informatieblad!$A$4,informatieblad!$B$4,IF(C122=informatieblad!$A$5,informatieblad!$B$5,"")))))))</f>
        <v/>
      </c>
      <c r="BF123" s="276" t="str">
        <f>IF(D122=informatieblad!$A$6,informatieblad!$B$6,IF(D122=informatieblad!$A$7,informatieblad!$B$7,IF(D122=informatieblad!$A$8,informatieblad!$B$8,IF(D122=informatieblad!$A$2,informatieblad!$B$2,IF(D122=informatieblad!$A$3,informatieblad!$B$3,IF(D122=informatieblad!$A$4,informatieblad!$B$4,IF(D122=informatieblad!$A$5,informatieblad!$B$5,"")))))))</f>
        <v/>
      </c>
      <c r="BG123" s="276">
        <f>IF(BD123=BG121,(4*C123),0)</f>
        <v>0</v>
      </c>
      <c r="BH123" s="276">
        <f>IF(BE123=BG121,(4*C123),0)</f>
        <v>0</v>
      </c>
      <c r="BI123" s="276">
        <f>IF(BF123=BG121,(4*C123),0)</f>
        <v>0</v>
      </c>
      <c r="BJ123" s="275">
        <f>IF(BD123=BJ121,(4*C123),0)</f>
        <v>0</v>
      </c>
      <c r="BK123" s="276">
        <f>IF(BE123=BJ121,(4*C123),0)</f>
        <v>0</v>
      </c>
      <c r="BL123" s="274">
        <f>IF(BF123=BJ121,(4*C123),0)</f>
        <v>0</v>
      </c>
    </row>
    <row r="124" spans="1:64" ht="5.0999999999999996" customHeight="1" thickBot="1">
      <c r="A124" s="145"/>
      <c r="B124" s="122"/>
      <c r="C124" s="122"/>
      <c r="D124" s="122"/>
      <c r="E124" s="122"/>
      <c r="F124" s="122"/>
      <c r="G124" s="122"/>
      <c r="H124" s="122"/>
      <c r="I124" s="146"/>
    </row>
    <row r="125" spans="1:64" ht="14.25" customHeight="1" thickBot="1">
      <c r="A125" s="445"/>
      <c r="B125" s="96"/>
      <c r="C125" s="300">
        <f>B125</f>
        <v>0</v>
      </c>
      <c r="D125" s="96"/>
      <c r="E125" s="96"/>
      <c r="F125" s="300">
        <f>(B125&gt;0)*$H$9</f>
        <v>0</v>
      </c>
      <c r="G125" s="300">
        <f>(C125&gt;0)*$H$10</f>
        <v>0</v>
      </c>
      <c r="H125" s="300">
        <f>(D125&gt;0)*$H$11</f>
        <v>0</v>
      </c>
      <c r="I125" s="302">
        <f>(E125&gt;0)*$H$12</f>
        <v>0</v>
      </c>
      <c r="J125" s="345" t="s">
        <v>20</v>
      </c>
      <c r="S125" s="97" t="s">
        <v>14</v>
      </c>
      <c r="T125" s="98" t="s">
        <v>27</v>
      </c>
      <c r="U125" s="98" t="s">
        <v>28</v>
      </c>
      <c r="V125" s="98" t="s">
        <v>27</v>
      </c>
      <c r="W125" s="98" t="s">
        <v>28</v>
      </c>
      <c r="X125" s="98" t="s">
        <v>29</v>
      </c>
      <c r="Y125" s="66" t="s">
        <v>30</v>
      </c>
      <c r="Z125" s="153" t="s">
        <v>31</v>
      </c>
      <c r="AA125" s="153"/>
      <c r="AB125" s="153"/>
      <c r="AC125" s="154" t="s">
        <v>83</v>
      </c>
      <c r="AD125" s="100" t="s">
        <v>83</v>
      </c>
      <c r="AE125" s="100" t="s">
        <v>83</v>
      </c>
      <c r="AF125" s="100" t="s">
        <v>33</v>
      </c>
      <c r="AG125" s="100" t="s">
        <v>34</v>
      </c>
      <c r="AH125" s="98" t="s">
        <v>32</v>
      </c>
      <c r="AI125" s="98" t="s">
        <v>32</v>
      </c>
      <c r="AJ125" s="98" t="s">
        <v>50</v>
      </c>
      <c r="AK125" s="101" t="s">
        <v>36</v>
      </c>
      <c r="AM125" s="97" t="str">
        <f>informatieblad!$A$6</f>
        <v>FL20</v>
      </c>
      <c r="AN125" s="99"/>
      <c r="AO125" s="99"/>
      <c r="AP125" s="97" t="str">
        <f>informatieblad!$A$7</f>
        <v>FL30</v>
      </c>
      <c r="AQ125" s="99"/>
      <c r="AR125" s="66"/>
      <c r="AS125" s="99" t="str">
        <f>informatieblad!$A$8</f>
        <v>FL40</v>
      </c>
      <c r="AT125" s="99"/>
      <c r="AU125" s="66"/>
      <c r="AV125" s="97" t="str">
        <f>informatieblad!$A$5</f>
        <v>none</v>
      </c>
      <c r="AW125" s="99"/>
      <c r="AX125" s="264"/>
      <c r="AY125" s="83"/>
      <c r="AZ125" s="266" t="s">
        <v>17</v>
      </c>
      <c r="BA125" s="131"/>
      <c r="BB125" s="266" t="s">
        <v>37</v>
      </c>
      <c r="BC125" s="131"/>
      <c r="BD125" s="269" t="s">
        <v>38</v>
      </c>
      <c r="BE125" s="272"/>
      <c r="BF125" s="272"/>
      <c r="BG125" s="289">
        <f>informatieblad!$B$3</f>
        <v>0</v>
      </c>
      <c r="BH125" s="272"/>
      <c r="BI125" s="272"/>
      <c r="BJ125" s="289">
        <f>informatieblad!$B$4</f>
        <v>0</v>
      </c>
      <c r="BK125" s="272"/>
      <c r="BL125" s="264"/>
    </row>
    <row r="126" spans="1:64" ht="15" customHeight="1">
      <c r="A126" s="446"/>
      <c r="B126" s="202" t="str">
        <f>IF($C127&gt;0,IF(MAX(B125,E125)&lt;informatieblad!$Q$4,informatieblad!$P$3,IF(MAX(B125,E125)&gt;informatieblad!$R$4,informatieblad!$P$5,informatieblad!$P$4)),"")</f>
        <v/>
      </c>
      <c r="C126" s="202" t="str">
        <f>IF($C127&gt;0,IF(MAX(C125,E125)&lt;informatieblad!$Q$4,informatieblad!$P$3,IF(MAX(C125,E125)&gt;informatieblad!$R$4,informatieblad!$P$5,informatieblad!$P$4)),"")</f>
        <v/>
      </c>
      <c r="D126" s="203" t="str">
        <f>IF($C127&gt;0,IF(MAX(D125,E125)&lt;informatieblad!$Q$4,informatieblad!$P$3,IF(MAX(D125,E125)&gt;informatieblad!$R$4,informatieblad!$P$5,informatieblad!$P$4)),"")</f>
        <v/>
      </c>
      <c r="E126" s="190" t="str">
        <f>A125&amp;"-"&amp;informatieblad!$B$16&amp;"-"&amp;B125&amp;"-"&amp;C125&amp;"-"&amp;D125&amp;"-"&amp;E125&amp;"-"&amp;F125&amp;"-"&amp;G125&amp;"-"&amp;H125&amp;"-"&amp;I125&amp;"-"&amp;B126&amp;"-"&amp;C126&amp;"-"&amp;D126&amp;"-"&amp;G127</f>
        <v>-RctT--0---0-0-0-0----Options None</v>
      </c>
      <c r="F126" s="174"/>
      <c r="G126" s="174"/>
      <c r="H126" s="174"/>
      <c r="I126" s="199"/>
      <c r="J126" s="83"/>
      <c r="S126" s="103">
        <f>A125</f>
        <v>0</v>
      </c>
      <c r="T126" s="104" t="s">
        <v>39</v>
      </c>
      <c r="U126" s="104" t="s">
        <v>39</v>
      </c>
      <c r="V126" s="104" t="s">
        <v>40</v>
      </c>
      <c r="W126" s="104" t="s">
        <v>40</v>
      </c>
      <c r="X126" s="104" t="s">
        <v>40</v>
      </c>
      <c r="Y126" s="105"/>
      <c r="Z126" s="155" t="s">
        <v>27</v>
      </c>
      <c r="AA126" s="155" t="s">
        <v>40</v>
      </c>
      <c r="AB126" s="155" t="s">
        <v>41</v>
      </c>
      <c r="AC126" s="156" t="s">
        <v>109</v>
      </c>
      <c r="AD126" s="104" t="s">
        <v>110</v>
      </c>
      <c r="AE126" s="107" t="s">
        <v>95</v>
      </c>
      <c r="AF126" s="107" t="s">
        <v>44</v>
      </c>
      <c r="AG126" s="107"/>
      <c r="AH126" s="104" t="s">
        <v>40</v>
      </c>
      <c r="AI126" s="104" t="s">
        <v>41</v>
      </c>
      <c r="AJ126" s="108"/>
      <c r="AK126" s="109"/>
      <c r="AM126" s="262" t="str">
        <f>informatieblad!$A$2</f>
        <v>FL20 loose</v>
      </c>
      <c r="AN126" s="263"/>
      <c r="AO126" s="263"/>
      <c r="AP126" s="262" t="str">
        <f>informatieblad!$A$3</f>
        <v>FL30 loose</v>
      </c>
      <c r="AQ126" s="263"/>
      <c r="AR126" s="105"/>
      <c r="AS126" s="263" t="str">
        <f>informatieblad!$A$4</f>
        <v>FL40 loose</v>
      </c>
      <c r="AT126" s="263"/>
      <c r="AU126" s="105"/>
      <c r="AV126" s="265"/>
      <c r="AW126" s="106"/>
      <c r="AX126" s="105"/>
      <c r="AY126" s="83"/>
      <c r="AZ126" s="267"/>
      <c r="BA126" s="83"/>
      <c r="BB126" s="267"/>
      <c r="BC126" s="83"/>
      <c r="BD126" s="265" t="s">
        <v>47</v>
      </c>
      <c r="BE126" s="106" t="s">
        <v>48</v>
      </c>
      <c r="BF126" s="106" t="s">
        <v>48</v>
      </c>
      <c r="BG126" s="290" t="s">
        <v>23</v>
      </c>
      <c r="BH126" s="83" t="s">
        <v>23</v>
      </c>
      <c r="BI126" s="83" t="s">
        <v>23</v>
      </c>
      <c r="BJ126" s="290" t="s">
        <v>23</v>
      </c>
      <c r="BK126" s="83" t="s">
        <v>23</v>
      </c>
      <c r="BL126" s="273" t="s">
        <v>23</v>
      </c>
    </row>
    <row r="127" spans="1:64" ht="15.75" thickBot="1">
      <c r="A127" s="447"/>
      <c r="B127" s="92" t="s">
        <v>23</v>
      </c>
      <c r="C127" s="110"/>
      <c r="D127" s="94">
        <f>C127*U127</f>
        <v>0</v>
      </c>
      <c r="E127" s="141" t="s">
        <v>24</v>
      </c>
      <c r="F127" s="200"/>
      <c r="G127" s="457" t="s">
        <v>25</v>
      </c>
      <c r="H127" s="491"/>
      <c r="I127" s="492"/>
      <c r="J127" s="176"/>
      <c r="S127" s="111"/>
      <c r="T127" s="112">
        <f>(((2*(B125+E125))*(D125+G125+H125+F125))+((2*(D125+E125))*(C125+I125+F125)))/1000000</f>
        <v>0</v>
      </c>
      <c r="U127" s="112">
        <f>((IF(T127&lt;=informatieblad!$I$16,informatieblad!$I$16,IF(T127&gt;=informatieblad!$I$16,T127))))</f>
        <v>0.5</v>
      </c>
      <c r="V127" s="112">
        <f>(((2*(B125+E125))*(D125+G125+H125+F125))+((2*(D125+E125))*(C125+I125+F125)))/1000000</f>
        <v>0</v>
      </c>
      <c r="W127" s="112">
        <f>((IF(V127&lt;=informatieblad!$H$16,informatieblad!$H$16,IF(V127&gt;=informatieblad!$H$16,V127))))</f>
        <v>0</v>
      </c>
      <c r="X127" s="113">
        <f>((W127*AH127)+(W127*AA127))*C127</f>
        <v>0</v>
      </c>
      <c r="Y127" s="114">
        <f>((U127*AI127)+(U127*AB127))*C127</f>
        <v>0</v>
      </c>
      <c r="Z127" s="115" t="str">
        <f>G127</f>
        <v>Options None</v>
      </c>
      <c r="AA127" s="115">
        <f>VLOOKUP(G127,informatieblad!$A$37:$D$41,2,FALSE)</f>
        <v>0</v>
      </c>
      <c r="AB127" s="115">
        <f>VLOOKUP(G127,informatieblad!$A$37:$D$41,4,FALSE)</f>
        <v>0</v>
      </c>
      <c r="AC127" s="180">
        <f>(MAX(J125,K125))</f>
        <v>0</v>
      </c>
      <c r="AD127" s="119">
        <f>(MAX(L125,M125))</f>
        <v>0</v>
      </c>
      <c r="AE127" s="119">
        <f>(MAX(J125,L125))</f>
        <v>0</v>
      </c>
      <c r="AF127" s="119">
        <f>(MAX(B125:E125))</f>
        <v>0</v>
      </c>
      <c r="AG127" s="119">
        <f>LOOKUP(AF127,informatieblad!$C$27:$C$32,informatieblad!$A$27:$A$32)</f>
        <v>0.5</v>
      </c>
      <c r="AH127" s="118">
        <f>VLOOKUP(AG127,informatieblad!$A$27:$M$32,6,FALSE)</f>
        <v>0</v>
      </c>
      <c r="AI127" s="118">
        <f>VLOOKUP(AG127,informatieblad!$A$27:$M$32,8,FALSE)</f>
        <v>45.1248</v>
      </c>
      <c r="AJ127" s="120">
        <f>VLOOKUP(AG127,informatieblad!$A$27:$M$32,13,FALSE)</f>
        <v>4</v>
      </c>
      <c r="AK127" s="121">
        <f>ROUND((AJ127*V127),1)</f>
        <v>0</v>
      </c>
      <c r="AM127" s="111">
        <f>(IF(B126=AM125,((2*B125)+(2*E125)),IF(B126=AM126,((2*B125)+(2*E125)),0)))*C127</f>
        <v>0</v>
      </c>
      <c r="AN127" s="261">
        <f>(IF(C126=AM125,((2*C125)+(2*E125)),IF(C126=AM126,((2*C125)+(2*E125)),0)))*C127</f>
        <v>0</v>
      </c>
      <c r="AO127" s="261">
        <f>(IF(D126=AM125,((2*D125)+(2*E125)),IF(D126=AM126,((2*D125)+(2*E125)),0)))*C127</f>
        <v>0</v>
      </c>
      <c r="AP127" s="111">
        <f>(IF(B126=AP125,((2*B125)+(2*E125)),IF(B126=AP126,((2*B125)+(2*E125)),0)))*C127</f>
        <v>0</v>
      </c>
      <c r="AQ127" s="261">
        <f>(IF(C126=AP125,((2*C125)+(2*E125)),IF(C126=AP126,((2*C125)+(2*E125)),0)))*C127</f>
        <v>0</v>
      </c>
      <c r="AR127" s="260">
        <f>(IF(D126=AP125,((2*D125)+(2*E125)),IF(D126=AP126,((2*D125)+(2*E125)),0)))*C127</f>
        <v>0</v>
      </c>
      <c r="AS127" s="261">
        <f>(IF(B126=AS125,((2*B125)+(2*E125)),IF(B126=AS126,((2*B125)+(2*E125)),0)))*C127</f>
        <v>0</v>
      </c>
      <c r="AT127" s="261">
        <f>(IF(C126=AS125,((2*C125)+(2*E125)),IF(C126=AS126,((2*C125)+(2*E125)),0)))*C127</f>
        <v>0</v>
      </c>
      <c r="AU127" s="260">
        <f>(IF(D126=AS125,((2*D125)+(2*E125)),IF(D126=AS126,((2*D125)+(2*E125)),0)))*C127</f>
        <v>0</v>
      </c>
      <c r="AV127" s="111">
        <f>(IF(B126=AV125,((2*B125)+(2*E125)),0))*C127</f>
        <v>0</v>
      </c>
      <c r="AW127" s="261">
        <f>(IF(C126=AV125,((2*C125)+(2*E125)),0))*C127</f>
        <v>0</v>
      </c>
      <c r="AX127" s="260">
        <f>(IF(D126=AV125,((2*D125)+(2*E125)),0))*C127</f>
        <v>0</v>
      </c>
      <c r="AY127" s="83"/>
      <c r="AZ127" s="268">
        <f>(D125+H113+H113+G125+I125)*C127</f>
        <v>0</v>
      </c>
      <c r="BA127" s="83"/>
      <c r="BB127" s="268">
        <f>(AE127+100)*C127</f>
        <v>0</v>
      </c>
      <c r="BC127" s="83"/>
      <c r="BD127" s="111" t="str">
        <f>IF(B126=informatieblad!$A$6,informatieblad!$B$6,IF(B126=informatieblad!$A$7,informatieblad!$B$7,IF(B126=informatieblad!$A$8,informatieblad!$B$8,IF(B126=informatieblad!$A$2,informatieblad!$B$2,IF(B126=informatieblad!$A$3,informatieblad!$B$3,IF(B126=informatieblad!$A$4,informatieblad!$B$4,IF(B126=informatieblad!$A$5,informatieblad!$B$5,"")))))))</f>
        <v/>
      </c>
      <c r="BE127" s="275" t="str">
        <f>IF(C126=informatieblad!$A$6,informatieblad!$B$6,IF(C126=informatieblad!$A$7,informatieblad!$B$7,IF(C126=informatieblad!$A$8,informatieblad!$B$8,IF(C126=informatieblad!$A$2,informatieblad!$B$2,IF(C126=informatieblad!$A$3,informatieblad!$B$3,IF(C126=informatieblad!$A$4,informatieblad!$B$4,IF(C126=informatieblad!$A$5,informatieblad!$B$5,"")))))))</f>
        <v/>
      </c>
      <c r="BF127" s="276" t="str">
        <f>IF(D126=informatieblad!$A$6,informatieblad!$B$6,IF(D126=informatieblad!$A$7,informatieblad!$B$7,IF(D126=informatieblad!$A$8,informatieblad!$B$8,IF(D126=informatieblad!$A$2,informatieblad!$B$2,IF(D126=informatieblad!$A$3,informatieblad!$B$3,IF(D126=informatieblad!$A$4,informatieblad!$B$4,IF(D126=informatieblad!$A$5,informatieblad!$B$5,"")))))))</f>
        <v/>
      </c>
      <c r="BG127" s="276">
        <f>IF(BD127=BG125,(4*C127),0)</f>
        <v>0</v>
      </c>
      <c r="BH127" s="276">
        <f>IF(BE127=BG125,(4*C127),0)</f>
        <v>0</v>
      </c>
      <c r="BI127" s="276">
        <f>IF(BF127=BG125,(4*C127),0)</f>
        <v>0</v>
      </c>
      <c r="BJ127" s="275">
        <f>IF(BD127=BJ125,(4*C127),0)</f>
        <v>0</v>
      </c>
      <c r="BK127" s="276">
        <f>IF(BE127=BJ125,(4*C127),0)</f>
        <v>0</v>
      </c>
      <c r="BL127" s="274">
        <f>IF(BF127=BJ125,(4*C127),0)</f>
        <v>0</v>
      </c>
    </row>
    <row r="128" spans="1:64" ht="5.0999999999999996" customHeight="1" thickBot="1">
      <c r="A128" s="145"/>
      <c r="B128" s="122"/>
      <c r="C128" s="122"/>
      <c r="D128" s="122"/>
      <c r="E128" s="122"/>
      <c r="F128" s="122"/>
      <c r="G128" s="122"/>
      <c r="H128" s="122"/>
      <c r="I128" s="146"/>
    </row>
    <row r="129" spans="1:64" ht="14.25" customHeight="1" thickBot="1">
      <c r="A129" s="445"/>
      <c r="B129" s="96"/>
      <c r="C129" s="300">
        <f>B129</f>
        <v>0</v>
      </c>
      <c r="D129" s="96"/>
      <c r="E129" s="96"/>
      <c r="F129" s="300">
        <f>(B129&gt;0)*$H$9</f>
        <v>0</v>
      </c>
      <c r="G129" s="300">
        <f>(C129&gt;0)*$H$10</f>
        <v>0</v>
      </c>
      <c r="H129" s="300">
        <f>(D129&gt;0)*$H$11</f>
        <v>0</v>
      </c>
      <c r="I129" s="302">
        <f>(E129&gt;0)*$H$12</f>
        <v>0</v>
      </c>
      <c r="J129" s="345" t="s">
        <v>20</v>
      </c>
      <c r="S129" s="97" t="s">
        <v>14</v>
      </c>
      <c r="T129" s="98" t="s">
        <v>27</v>
      </c>
      <c r="U129" s="98" t="s">
        <v>28</v>
      </c>
      <c r="V129" s="98" t="s">
        <v>27</v>
      </c>
      <c r="W129" s="98" t="s">
        <v>28</v>
      </c>
      <c r="X129" s="98" t="s">
        <v>29</v>
      </c>
      <c r="Y129" s="66" t="s">
        <v>30</v>
      </c>
      <c r="Z129" s="153" t="s">
        <v>31</v>
      </c>
      <c r="AA129" s="153"/>
      <c r="AB129" s="153"/>
      <c r="AC129" s="154" t="s">
        <v>83</v>
      </c>
      <c r="AD129" s="100" t="s">
        <v>83</v>
      </c>
      <c r="AE129" s="100" t="s">
        <v>83</v>
      </c>
      <c r="AF129" s="100" t="s">
        <v>33</v>
      </c>
      <c r="AG129" s="100" t="s">
        <v>34</v>
      </c>
      <c r="AH129" s="98" t="s">
        <v>32</v>
      </c>
      <c r="AI129" s="98" t="s">
        <v>32</v>
      </c>
      <c r="AJ129" s="98" t="s">
        <v>50</v>
      </c>
      <c r="AK129" s="101" t="s">
        <v>36</v>
      </c>
      <c r="AM129" s="97" t="str">
        <f>informatieblad!$A$6</f>
        <v>FL20</v>
      </c>
      <c r="AN129" s="99"/>
      <c r="AO129" s="99"/>
      <c r="AP129" s="97" t="str">
        <f>informatieblad!$A$7</f>
        <v>FL30</v>
      </c>
      <c r="AQ129" s="99"/>
      <c r="AR129" s="66"/>
      <c r="AS129" s="99" t="str">
        <f>informatieblad!$A$8</f>
        <v>FL40</v>
      </c>
      <c r="AT129" s="99"/>
      <c r="AU129" s="66"/>
      <c r="AV129" s="97" t="str">
        <f>informatieblad!$A$5</f>
        <v>none</v>
      </c>
      <c r="AW129" s="99"/>
      <c r="AX129" s="264"/>
      <c r="AY129" s="83"/>
      <c r="AZ129" s="266" t="s">
        <v>17</v>
      </c>
      <c r="BA129" s="131"/>
      <c r="BB129" s="266" t="s">
        <v>37</v>
      </c>
      <c r="BC129" s="131"/>
      <c r="BD129" s="269" t="s">
        <v>38</v>
      </c>
      <c r="BE129" s="272"/>
      <c r="BF129" s="272"/>
      <c r="BG129" s="289">
        <f>informatieblad!$B$3</f>
        <v>0</v>
      </c>
      <c r="BH129" s="272"/>
      <c r="BI129" s="272"/>
      <c r="BJ129" s="289">
        <f>informatieblad!$B$4</f>
        <v>0</v>
      </c>
      <c r="BK129" s="272"/>
      <c r="BL129" s="264"/>
    </row>
    <row r="130" spans="1:64" ht="15" customHeight="1">
      <c r="A130" s="446"/>
      <c r="B130" s="202" t="str">
        <f>IF($C131&gt;0,IF(MAX(B129,E129)&lt;informatieblad!$Q$4,informatieblad!$P$3,IF(MAX(B129,E129)&gt;informatieblad!$R$4,informatieblad!$P$5,informatieblad!$P$4)),"")</f>
        <v/>
      </c>
      <c r="C130" s="202" t="str">
        <f>IF($C131&gt;0,IF(MAX(C129,E129)&lt;informatieblad!$Q$4,informatieblad!$P$3,IF(MAX(C129,E129)&gt;informatieblad!$R$4,informatieblad!$P$5,informatieblad!$P$4)),"")</f>
        <v/>
      </c>
      <c r="D130" s="203" t="str">
        <f>IF($C131&gt;0,IF(MAX(D129,E129)&lt;informatieblad!$Q$4,informatieblad!$P$3,IF(MAX(D129,E129)&gt;informatieblad!$R$4,informatieblad!$P$5,informatieblad!$P$4)),"")</f>
        <v/>
      </c>
      <c r="E130" s="190" t="str">
        <f>A129&amp;"-"&amp;informatieblad!$B$16&amp;"-"&amp;B129&amp;"-"&amp;C129&amp;"-"&amp;D129&amp;"-"&amp;E129&amp;"-"&amp;F129&amp;"-"&amp;G129&amp;"-"&amp;H129&amp;"-"&amp;I129&amp;"-"&amp;B130&amp;"-"&amp;C130&amp;"-"&amp;D130&amp;"-"&amp;G131</f>
        <v>-RctT--0---0-0-0-0----Options None</v>
      </c>
      <c r="F130" s="174"/>
      <c r="G130" s="174"/>
      <c r="H130" s="174"/>
      <c r="I130" s="199"/>
      <c r="J130" s="83"/>
      <c r="S130" s="103">
        <f>A129</f>
        <v>0</v>
      </c>
      <c r="T130" s="104" t="s">
        <v>39</v>
      </c>
      <c r="U130" s="104" t="s">
        <v>39</v>
      </c>
      <c r="V130" s="104" t="s">
        <v>40</v>
      </c>
      <c r="W130" s="104" t="s">
        <v>40</v>
      </c>
      <c r="X130" s="104" t="s">
        <v>40</v>
      </c>
      <c r="Y130" s="105"/>
      <c r="Z130" s="155" t="s">
        <v>27</v>
      </c>
      <c r="AA130" s="155" t="s">
        <v>40</v>
      </c>
      <c r="AB130" s="155" t="s">
        <v>41</v>
      </c>
      <c r="AC130" s="156" t="s">
        <v>109</v>
      </c>
      <c r="AD130" s="104" t="s">
        <v>110</v>
      </c>
      <c r="AE130" s="107" t="s">
        <v>95</v>
      </c>
      <c r="AF130" s="107" t="s">
        <v>44</v>
      </c>
      <c r="AG130" s="107"/>
      <c r="AH130" s="104" t="s">
        <v>40</v>
      </c>
      <c r="AI130" s="104" t="s">
        <v>41</v>
      </c>
      <c r="AJ130" s="108"/>
      <c r="AK130" s="109"/>
      <c r="AM130" s="262" t="str">
        <f>informatieblad!$A$2</f>
        <v>FL20 loose</v>
      </c>
      <c r="AN130" s="263"/>
      <c r="AO130" s="263"/>
      <c r="AP130" s="262" t="str">
        <f>informatieblad!$A$3</f>
        <v>FL30 loose</v>
      </c>
      <c r="AQ130" s="263"/>
      <c r="AR130" s="105"/>
      <c r="AS130" s="263" t="str">
        <f>informatieblad!$A$4</f>
        <v>FL40 loose</v>
      </c>
      <c r="AT130" s="263"/>
      <c r="AU130" s="105"/>
      <c r="AV130" s="265"/>
      <c r="AW130" s="106"/>
      <c r="AX130" s="105"/>
      <c r="AY130" s="83"/>
      <c r="AZ130" s="267"/>
      <c r="BA130" s="83"/>
      <c r="BB130" s="267"/>
      <c r="BC130" s="83"/>
      <c r="BD130" s="265" t="s">
        <v>47</v>
      </c>
      <c r="BE130" s="106" t="s">
        <v>48</v>
      </c>
      <c r="BF130" s="106" t="s">
        <v>48</v>
      </c>
      <c r="BG130" s="290" t="s">
        <v>23</v>
      </c>
      <c r="BH130" s="83" t="s">
        <v>23</v>
      </c>
      <c r="BI130" s="83" t="s">
        <v>23</v>
      </c>
      <c r="BJ130" s="290" t="s">
        <v>23</v>
      </c>
      <c r="BK130" s="83" t="s">
        <v>23</v>
      </c>
      <c r="BL130" s="273" t="s">
        <v>23</v>
      </c>
    </row>
    <row r="131" spans="1:64" ht="15.75" thickBot="1">
      <c r="A131" s="447"/>
      <c r="B131" s="92" t="s">
        <v>23</v>
      </c>
      <c r="C131" s="110"/>
      <c r="D131" s="94">
        <f>C131*U131</f>
        <v>0</v>
      </c>
      <c r="E131" s="141" t="s">
        <v>24</v>
      </c>
      <c r="F131" s="200"/>
      <c r="G131" s="457" t="s">
        <v>25</v>
      </c>
      <c r="H131" s="491"/>
      <c r="I131" s="492"/>
      <c r="J131" s="176"/>
      <c r="S131" s="111"/>
      <c r="T131" s="112">
        <f>(((2*(B129+E129))*(D129+G129+H129+F129))+((2*(D129+E129))*(C129+I129+F129)))/1000000</f>
        <v>0</v>
      </c>
      <c r="U131" s="112">
        <f>((IF(T131&lt;=informatieblad!$I$16,informatieblad!$I$16,IF(T131&gt;=informatieblad!$I$16,T131))))</f>
        <v>0.5</v>
      </c>
      <c r="V131" s="112">
        <f>(((2*(B129+E129))*(D129+G129+H129+F129))+((2*(D129+E129))*(C129+I129+F129)))/1000000</f>
        <v>0</v>
      </c>
      <c r="W131" s="112">
        <f>((IF(V131&lt;=informatieblad!$H$16,informatieblad!$H$16,IF(V131&gt;=informatieblad!$H$16,V131))))</f>
        <v>0</v>
      </c>
      <c r="X131" s="113">
        <f>((W131*AH131)+(W131*AA131))*C131</f>
        <v>0</v>
      </c>
      <c r="Y131" s="114">
        <f>((U131*AI131)+(U131*AB131))*C131</f>
        <v>0</v>
      </c>
      <c r="Z131" s="115" t="str">
        <f>G131</f>
        <v>Options None</v>
      </c>
      <c r="AA131" s="115">
        <f>VLOOKUP(G131,informatieblad!$A$37:$D$41,2,FALSE)</f>
        <v>0</v>
      </c>
      <c r="AB131" s="115">
        <f>VLOOKUP(G131,informatieblad!$A$37:$D$41,4,FALSE)</f>
        <v>0</v>
      </c>
      <c r="AC131" s="180">
        <f>(MAX(J129,K129))</f>
        <v>0</v>
      </c>
      <c r="AD131" s="119">
        <f>(MAX(L129,M129))</f>
        <v>0</v>
      </c>
      <c r="AE131" s="119">
        <f>(MAX(J129,L129))</f>
        <v>0</v>
      </c>
      <c r="AF131" s="119">
        <f>(MAX(B129:E129))</f>
        <v>0</v>
      </c>
      <c r="AG131" s="119">
        <f>LOOKUP(AF131,informatieblad!$C$27:$C$32,informatieblad!$A$27:$A$32)</f>
        <v>0.5</v>
      </c>
      <c r="AH131" s="118">
        <f>VLOOKUP(AG131,informatieblad!$A$27:$M$32,6,FALSE)</f>
        <v>0</v>
      </c>
      <c r="AI131" s="118">
        <f>VLOOKUP(AG131,informatieblad!$A$27:$M$32,8,FALSE)</f>
        <v>45.1248</v>
      </c>
      <c r="AJ131" s="120">
        <f>VLOOKUP(AG131,informatieblad!$A$27:$M$32,13,FALSE)</f>
        <v>4</v>
      </c>
      <c r="AK131" s="121">
        <f>ROUND((AJ131*V131),1)</f>
        <v>0</v>
      </c>
      <c r="AM131" s="111">
        <f>(IF(B130=AM129,((2*B129)+(2*E129)),IF(B130=AM130,((2*B129)+(2*E129)),0)))*C131</f>
        <v>0</v>
      </c>
      <c r="AN131" s="261">
        <f>(IF(C130=AM129,((2*C129)+(2*E129)),IF(C130=AM130,((2*C129)+(2*E129)),0)))*C131</f>
        <v>0</v>
      </c>
      <c r="AO131" s="261">
        <f>(IF(D130=AM129,((2*D129)+(2*E129)),IF(D130=AM130,((2*D129)+(2*E129)),0)))*C131</f>
        <v>0</v>
      </c>
      <c r="AP131" s="111">
        <f>(IF(B130=AP129,((2*B129)+(2*E129)),IF(B130=AP130,((2*B129)+(2*E129)),0)))*C131</f>
        <v>0</v>
      </c>
      <c r="AQ131" s="261">
        <f>(IF(C130=AP129,((2*C129)+(2*E129)),IF(C130=AP130,((2*C129)+(2*E129)),0)))*C131</f>
        <v>0</v>
      </c>
      <c r="AR131" s="260">
        <f>(IF(D130=AP129,((2*D129)+(2*E129)),IF(D130=AP130,((2*D129)+(2*E129)),0)))*C131</f>
        <v>0</v>
      </c>
      <c r="AS131" s="261">
        <f>(IF(B130=AS129,((2*B129)+(2*E129)),IF(B130=AS130,((2*B129)+(2*E129)),0)))*C131</f>
        <v>0</v>
      </c>
      <c r="AT131" s="261">
        <f>(IF(C130=AS129,((2*C129)+(2*E129)),IF(C130=AS130,((2*C129)+(2*E129)),0)))*C131</f>
        <v>0</v>
      </c>
      <c r="AU131" s="260">
        <f>(IF(D130=AS129,((2*D129)+(2*E129)),IF(D130=AS130,((2*D129)+(2*E129)),0)))*C131</f>
        <v>0</v>
      </c>
      <c r="AV131" s="111">
        <f>(IF(B130=AV129,((2*B129)+(2*E129)),0))*C131</f>
        <v>0</v>
      </c>
      <c r="AW131" s="261">
        <f>(IF(C130=AV129,((2*C129)+(2*E129)),0))*C131</f>
        <v>0</v>
      </c>
      <c r="AX131" s="260">
        <f>(IF(D130=AV129,((2*D129)+(2*E129)),0))*C131</f>
        <v>0</v>
      </c>
      <c r="AY131" s="83"/>
      <c r="AZ131" s="268">
        <f>(D129+H117+H117+G129+I129)*C131</f>
        <v>0</v>
      </c>
      <c r="BA131" s="83"/>
      <c r="BB131" s="268">
        <f>(AE131+100)*C131</f>
        <v>0</v>
      </c>
      <c r="BC131" s="83"/>
      <c r="BD131" s="111" t="str">
        <f>IF(B130=informatieblad!$A$6,informatieblad!$B$6,IF(B130=informatieblad!$A$7,informatieblad!$B$7,IF(B130=informatieblad!$A$8,informatieblad!$B$8,IF(B130=informatieblad!$A$2,informatieblad!$B$2,IF(B130=informatieblad!$A$3,informatieblad!$B$3,IF(B130=informatieblad!$A$4,informatieblad!$B$4,IF(B130=informatieblad!$A$5,informatieblad!$B$5,"")))))))</f>
        <v/>
      </c>
      <c r="BE131" s="275" t="str">
        <f>IF(C130=informatieblad!$A$6,informatieblad!$B$6,IF(C130=informatieblad!$A$7,informatieblad!$B$7,IF(C130=informatieblad!$A$8,informatieblad!$B$8,IF(C130=informatieblad!$A$2,informatieblad!$B$2,IF(C130=informatieblad!$A$3,informatieblad!$B$3,IF(C130=informatieblad!$A$4,informatieblad!$B$4,IF(C130=informatieblad!$A$5,informatieblad!$B$5,"")))))))</f>
        <v/>
      </c>
      <c r="BF131" s="276" t="str">
        <f>IF(D130=informatieblad!$A$6,informatieblad!$B$6,IF(D130=informatieblad!$A$7,informatieblad!$B$7,IF(D130=informatieblad!$A$8,informatieblad!$B$8,IF(D130=informatieblad!$A$2,informatieblad!$B$2,IF(D130=informatieblad!$A$3,informatieblad!$B$3,IF(D130=informatieblad!$A$4,informatieblad!$B$4,IF(D130=informatieblad!$A$5,informatieblad!$B$5,"")))))))</f>
        <v/>
      </c>
      <c r="BG131" s="276">
        <f>IF(BD131=BG129,(4*C131),0)</f>
        <v>0</v>
      </c>
      <c r="BH131" s="276">
        <f>IF(BE131=BG129,(4*C131),0)</f>
        <v>0</v>
      </c>
      <c r="BI131" s="276">
        <f>IF(BF131=BG129,(4*C131),0)</f>
        <v>0</v>
      </c>
      <c r="BJ131" s="275">
        <f>IF(BD131=BJ129,(4*C131),0)</f>
        <v>0</v>
      </c>
      <c r="BK131" s="276">
        <f>IF(BE131=BJ129,(4*C131),0)</f>
        <v>0</v>
      </c>
      <c r="BL131" s="274">
        <f>IF(BF131=BJ129,(4*C131),0)</f>
        <v>0</v>
      </c>
    </row>
    <row r="132" spans="1:64" ht="5.0999999999999996" customHeight="1" thickBot="1">
      <c r="A132" s="145"/>
      <c r="B132" s="122"/>
      <c r="C132" s="122"/>
      <c r="D132" s="122"/>
      <c r="E132" s="122"/>
      <c r="F132" s="122"/>
      <c r="G132" s="122"/>
      <c r="H132" s="122"/>
      <c r="I132" s="146"/>
    </row>
    <row r="133" spans="1:64" ht="14.25" customHeight="1" thickBot="1">
      <c r="A133" s="445"/>
      <c r="B133" s="96"/>
      <c r="C133" s="300">
        <f>B133</f>
        <v>0</v>
      </c>
      <c r="D133" s="96"/>
      <c r="E133" s="96"/>
      <c r="F133" s="300">
        <f>(B133&gt;0)*$H$9</f>
        <v>0</v>
      </c>
      <c r="G133" s="300">
        <f>(C133&gt;0)*$H$10</f>
        <v>0</v>
      </c>
      <c r="H133" s="300">
        <f>(D133&gt;0)*$H$11</f>
        <v>0</v>
      </c>
      <c r="I133" s="302">
        <f>(E133&gt;0)*$H$12</f>
        <v>0</v>
      </c>
      <c r="J133" s="345" t="s">
        <v>20</v>
      </c>
      <c r="S133" s="97" t="s">
        <v>14</v>
      </c>
      <c r="T133" s="98" t="s">
        <v>27</v>
      </c>
      <c r="U133" s="98" t="s">
        <v>28</v>
      </c>
      <c r="V133" s="98" t="s">
        <v>27</v>
      </c>
      <c r="W133" s="98" t="s">
        <v>28</v>
      </c>
      <c r="X133" s="98" t="s">
        <v>29</v>
      </c>
      <c r="Y133" s="66" t="s">
        <v>30</v>
      </c>
      <c r="Z133" s="153" t="s">
        <v>31</v>
      </c>
      <c r="AA133" s="153"/>
      <c r="AB133" s="153"/>
      <c r="AC133" s="154" t="s">
        <v>83</v>
      </c>
      <c r="AD133" s="100" t="s">
        <v>83</v>
      </c>
      <c r="AE133" s="100" t="s">
        <v>83</v>
      </c>
      <c r="AF133" s="100" t="s">
        <v>33</v>
      </c>
      <c r="AG133" s="100" t="s">
        <v>34</v>
      </c>
      <c r="AH133" s="98" t="s">
        <v>32</v>
      </c>
      <c r="AI133" s="98" t="s">
        <v>32</v>
      </c>
      <c r="AJ133" s="98" t="s">
        <v>50</v>
      </c>
      <c r="AK133" s="101" t="s">
        <v>36</v>
      </c>
      <c r="AM133" s="97" t="str">
        <f>informatieblad!$A$6</f>
        <v>FL20</v>
      </c>
      <c r="AN133" s="99"/>
      <c r="AO133" s="99"/>
      <c r="AP133" s="97" t="str">
        <f>informatieblad!$A$7</f>
        <v>FL30</v>
      </c>
      <c r="AQ133" s="99"/>
      <c r="AR133" s="66"/>
      <c r="AS133" s="99" t="str">
        <f>informatieblad!$A$8</f>
        <v>FL40</v>
      </c>
      <c r="AT133" s="99"/>
      <c r="AU133" s="66"/>
      <c r="AV133" s="97" t="str">
        <f>informatieblad!$A$5</f>
        <v>none</v>
      </c>
      <c r="AW133" s="99"/>
      <c r="AX133" s="264"/>
      <c r="AY133" s="83"/>
      <c r="AZ133" s="266" t="s">
        <v>17</v>
      </c>
      <c r="BA133" s="131"/>
      <c r="BB133" s="266" t="s">
        <v>37</v>
      </c>
      <c r="BC133" s="131"/>
      <c r="BD133" s="269" t="s">
        <v>38</v>
      </c>
      <c r="BE133" s="272"/>
      <c r="BF133" s="272"/>
      <c r="BG133" s="289">
        <f>informatieblad!$B$3</f>
        <v>0</v>
      </c>
      <c r="BH133" s="272"/>
      <c r="BI133" s="272"/>
      <c r="BJ133" s="289">
        <f>informatieblad!$B$4</f>
        <v>0</v>
      </c>
      <c r="BK133" s="272"/>
      <c r="BL133" s="264"/>
    </row>
    <row r="134" spans="1:64" ht="15.75" customHeight="1">
      <c r="A134" s="446"/>
      <c r="B134" s="202" t="str">
        <f>IF($C135&gt;0,IF(MAX(B133,E133)&lt;informatieblad!$Q$4,informatieblad!$P$3,IF(MAX(B133,E133)&gt;informatieblad!$R$4,informatieblad!$P$5,informatieblad!$P$4)),"")</f>
        <v/>
      </c>
      <c r="C134" s="202" t="str">
        <f>IF($C135&gt;0,IF(MAX(C133,E133)&lt;informatieblad!$Q$4,informatieblad!$P$3,IF(MAX(C133,E133)&gt;informatieblad!$R$4,informatieblad!$P$5,informatieblad!$P$4)),"")</f>
        <v/>
      </c>
      <c r="D134" s="203" t="str">
        <f>IF($C135&gt;0,IF(MAX(D133,E133)&lt;informatieblad!$Q$4,informatieblad!$P$3,IF(MAX(D133,E133)&gt;informatieblad!$R$4,informatieblad!$P$5,informatieblad!$P$4)),"")</f>
        <v/>
      </c>
      <c r="E134" s="190" t="str">
        <f>A133&amp;"-"&amp;informatieblad!$B$16&amp;"-"&amp;B133&amp;"-"&amp;C133&amp;"-"&amp;D133&amp;"-"&amp;E133&amp;"-"&amp;F133&amp;"-"&amp;G133&amp;"-"&amp;H133&amp;"-"&amp;I133&amp;"-"&amp;B134&amp;"-"&amp;C134&amp;"-"&amp;D134&amp;"-"&amp;G135</f>
        <v>-RctT--0---0-0-0-0----Options None</v>
      </c>
      <c r="F134" s="174"/>
      <c r="G134" s="174"/>
      <c r="H134" s="174"/>
      <c r="I134" s="199"/>
      <c r="J134" s="83"/>
      <c r="S134" s="103">
        <f>A133</f>
        <v>0</v>
      </c>
      <c r="T134" s="104" t="s">
        <v>39</v>
      </c>
      <c r="U134" s="104" t="s">
        <v>39</v>
      </c>
      <c r="V134" s="104" t="s">
        <v>40</v>
      </c>
      <c r="W134" s="104" t="s">
        <v>40</v>
      </c>
      <c r="X134" s="104" t="s">
        <v>40</v>
      </c>
      <c r="Y134" s="105"/>
      <c r="Z134" s="155" t="s">
        <v>27</v>
      </c>
      <c r="AA134" s="155" t="s">
        <v>40</v>
      </c>
      <c r="AB134" s="155" t="s">
        <v>41</v>
      </c>
      <c r="AC134" s="156" t="s">
        <v>109</v>
      </c>
      <c r="AD134" s="104" t="s">
        <v>110</v>
      </c>
      <c r="AE134" s="107" t="s">
        <v>95</v>
      </c>
      <c r="AF134" s="107" t="s">
        <v>44</v>
      </c>
      <c r="AG134" s="107"/>
      <c r="AH134" s="104" t="s">
        <v>40</v>
      </c>
      <c r="AI134" s="104" t="s">
        <v>41</v>
      </c>
      <c r="AJ134" s="108"/>
      <c r="AK134" s="109"/>
      <c r="AM134" s="262" t="str">
        <f>informatieblad!$A$2</f>
        <v>FL20 loose</v>
      </c>
      <c r="AN134" s="263"/>
      <c r="AO134" s="263"/>
      <c r="AP134" s="262" t="str">
        <f>informatieblad!$A$3</f>
        <v>FL30 loose</v>
      </c>
      <c r="AQ134" s="263"/>
      <c r="AR134" s="105"/>
      <c r="AS134" s="263" t="str">
        <f>informatieblad!$A$4</f>
        <v>FL40 loose</v>
      </c>
      <c r="AT134" s="263"/>
      <c r="AU134" s="105"/>
      <c r="AV134" s="265"/>
      <c r="AW134" s="106"/>
      <c r="AX134" s="105"/>
      <c r="AY134" s="83"/>
      <c r="AZ134" s="267"/>
      <c r="BA134" s="83"/>
      <c r="BB134" s="267"/>
      <c r="BC134" s="83"/>
      <c r="BD134" s="265" t="s">
        <v>47</v>
      </c>
      <c r="BE134" s="106" t="s">
        <v>48</v>
      </c>
      <c r="BF134" s="106" t="s">
        <v>48</v>
      </c>
      <c r="BG134" s="290" t="s">
        <v>23</v>
      </c>
      <c r="BH134" s="83" t="s">
        <v>23</v>
      </c>
      <c r="BI134" s="83" t="s">
        <v>23</v>
      </c>
      <c r="BJ134" s="290" t="s">
        <v>23</v>
      </c>
      <c r="BK134" s="83" t="s">
        <v>23</v>
      </c>
      <c r="BL134" s="273" t="s">
        <v>23</v>
      </c>
    </row>
    <row r="135" spans="1:64" ht="15.75" thickBot="1">
      <c r="A135" s="447"/>
      <c r="B135" s="92" t="s">
        <v>23</v>
      </c>
      <c r="C135" s="110"/>
      <c r="D135" s="94">
        <f>C135*U135</f>
        <v>0</v>
      </c>
      <c r="E135" s="141" t="s">
        <v>24</v>
      </c>
      <c r="F135" s="200"/>
      <c r="G135" s="457" t="s">
        <v>25</v>
      </c>
      <c r="H135" s="491"/>
      <c r="I135" s="492"/>
      <c r="J135" s="176"/>
      <c r="S135" s="111"/>
      <c r="T135" s="112">
        <f>(((2*(B133+E133))*(D133+G133+H133+F133))+((2*(D133+E133))*(C133+I133+F133)))/1000000</f>
        <v>0</v>
      </c>
      <c r="U135" s="112">
        <f>((IF(T135&lt;=informatieblad!$I$16,informatieblad!$I$16,IF(T135&gt;=informatieblad!$I$16,T135))))</f>
        <v>0.5</v>
      </c>
      <c r="V135" s="112">
        <f>(((2*(B133+E133))*(D133+G133+H133+F133))+((2*(D133+E133))*(C133+I133+F133)))/1000000</f>
        <v>0</v>
      </c>
      <c r="W135" s="112">
        <f>((IF(V135&lt;=informatieblad!$H$16,informatieblad!$H$16,IF(V135&gt;=informatieblad!$H$16,V135))))</f>
        <v>0</v>
      </c>
      <c r="X135" s="113">
        <f>((W135*AH135)+(W135*AA135))*C135</f>
        <v>0</v>
      </c>
      <c r="Y135" s="114">
        <f>((U135*AI135)+(U135*AB135))*C135</f>
        <v>0</v>
      </c>
      <c r="Z135" s="115" t="str">
        <f>G135</f>
        <v>Options None</v>
      </c>
      <c r="AA135" s="115">
        <f>VLOOKUP(G135,informatieblad!$A$37:$D$41,2,FALSE)</f>
        <v>0</v>
      </c>
      <c r="AB135" s="115">
        <f>VLOOKUP(G135,informatieblad!$A$37:$D$41,4,FALSE)</f>
        <v>0</v>
      </c>
      <c r="AC135" s="180">
        <f>(MAX(J133,K133))</f>
        <v>0</v>
      </c>
      <c r="AD135" s="119">
        <f>(MAX(L133,M133))</f>
        <v>0</v>
      </c>
      <c r="AE135" s="119">
        <f>(MAX(J133,L133))</f>
        <v>0</v>
      </c>
      <c r="AF135" s="119">
        <f>(MAX(B133:E133))</f>
        <v>0</v>
      </c>
      <c r="AG135" s="119">
        <f>LOOKUP(AF135,informatieblad!$C$27:$C$32,informatieblad!$A$27:$A$32)</f>
        <v>0.5</v>
      </c>
      <c r="AH135" s="118">
        <f>VLOOKUP(AG135,informatieblad!$A$27:$M$32,6,FALSE)</f>
        <v>0</v>
      </c>
      <c r="AI135" s="118">
        <f>VLOOKUP(AG135,informatieblad!$A$27:$M$32,8,FALSE)</f>
        <v>45.1248</v>
      </c>
      <c r="AJ135" s="120">
        <f>VLOOKUP(AG135,informatieblad!$A$27:$M$32,13,FALSE)</f>
        <v>4</v>
      </c>
      <c r="AK135" s="121">
        <f>ROUND((AJ135*V135),1)</f>
        <v>0</v>
      </c>
      <c r="AM135" s="111">
        <f>(IF(B134=AM133,((2*B133)+(2*E133)),IF(B134=AM134,((2*B133)+(2*E133)),0)))*C135</f>
        <v>0</v>
      </c>
      <c r="AN135" s="261">
        <f>(IF(C134=AM133,((2*C133)+(2*E133)),IF(C134=AM134,((2*C133)+(2*E133)),0)))*C135</f>
        <v>0</v>
      </c>
      <c r="AO135" s="261">
        <f>(IF(D134=AM133,((2*D133)+(2*E133)),IF(D134=AM134,((2*D133)+(2*E133)),0)))*C135</f>
        <v>0</v>
      </c>
      <c r="AP135" s="111">
        <f>(IF(B134=AP133,((2*B133)+(2*E133)),IF(B134=AP134,((2*B133)+(2*E133)),0)))*C135</f>
        <v>0</v>
      </c>
      <c r="AQ135" s="261">
        <f>(IF(C134=AP133,((2*C133)+(2*E133)),IF(C134=AP134,((2*C133)+(2*E133)),0)))*C135</f>
        <v>0</v>
      </c>
      <c r="AR135" s="260">
        <f>(IF(D134=AP133,((2*D133)+(2*E133)),IF(D134=AP134,((2*D133)+(2*E133)),0)))*C135</f>
        <v>0</v>
      </c>
      <c r="AS135" s="261">
        <f>(IF(B134=AS133,((2*B133)+(2*E133)),IF(B134=AS134,((2*B133)+(2*E133)),0)))*C135</f>
        <v>0</v>
      </c>
      <c r="AT135" s="261">
        <f>(IF(C134=AS133,((2*C133)+(2*E133)),IF(C134=AS134,((2*C133)+(2*E133)),0)))*C135</f>
        <v>0</v>
      </c>
      <c r="AU135" s="260">
        <f>(IF(D134=AS133,((2*D133)+(2*E133)),IF(D134=AS134,((2*D133)+(2*E133)),0)))*C135</f>
        <v>0</v>
      </c>
      <c r="AV135" s="111">
        <f>(IF(B134=AV133,((2*B133)+(2*E133)),0))*C135</f>
        <v>0</v>
      </c>
      <c r="AW135" s="261">
        <f>(IF(C134=AV133,((2*C133)+(2*E133)),0))*C135</f>
        <v>0</v>
      </c>
      <c r="AX135" s="260">
        <f>(IF(D134=AV133,((2*D133)+(2*E133)),0))*C135</f>
        <v>0</v>
      </c>
      <c r="AY135" s="83"/>
      <c r="AZ135" s="268">
        <f>(D133+H121+H121+G133+I133)*C135</f>
        <v>0</v>
      </c>
      <c r="BA135" s="83"/>
      <c r="BB135" s="268">
        <f>(AE135+100)*C135</f>
        <v>0</v>
      </c>
      <c r="BC135" s="83"/>
      <c r="BD135" s="111" t="str">
        <f>IF(B134=informatieblad!$A$6,informatieblad!$B$6,IF(B134=informatieblad!$A$7,informatieblad!$B$7,IF(B134=informatieblad!$A$8,informatieblad!$B$8,IF(B134=informatieblad!$A$2,informatieblad!$B$2,IF(B134=informatieblad!$A$3,informatieblad!$B$3,IF(B134=informatieblad!$A$4,informatieblad!$B$4,IF(B134=informatieblad!$A$5,informatieblad!$B$5,"")))))))</f>
        <v/>
      </c>
      <c r="BE135" s="275" t="str">
        <f>IF(C134=informatieblad!$A$6,informatieblad!$B$6,IF(C134=informatieblad!$A$7,informatieblad!$B$7,IF(C134=informatieblad!$A$8,informatieblad!$B$8,IF(C134=informatieblad!$A$2,informatieblad!$B$2,IF(C134=informatieblad!$A$3,informatieblad!$B$3,IF(C134=informatieblad!$A$4,informatieblad!$B$4,IF(C134=informatieblad!$A$5,informatieblad!$B$5,"")))))))</f>
        <v/>
      </c>
      <c r="BF135" s="276" t="str">
        <f>IF(D134=informatieblad!$A$6,informatieblad!$B$6,IF(D134=informatieblad!$A$7,informatieblad!$B$7,IF(D134=informatieblad!$A$8,informatieblad!$B$8,IF(D134=informatieblad!$A$2,informatieblad!$B$2,IF(D134=informatieblad!$A$3,informatieblad!$B$3,IF(D134=informatieblad!$A$4,informatieblad!$B$4,IF(D134=informatieblad!$A$5,informatieblad!$B$5,"")))))))</f>
        <v/>
      </c>
      <c r="BG135" s="276">
        <f>IF(BD135=BG133,(4*C135),0)</f>
        <v>0</v>
      </c>
      <c r="BH135" s="276">
        <f>IF(BE135=BG133,(4*C135),0)</f>
        <v>0</v>
      </c>
      <c r="BI135" s="276">
        <f>IF(BF135=BG133,(4*C135),0)</f>
        <v>0</v>
      </c>
      <c r="BJ135" s="275">
        <f>IF(BD135=BJ133,(4*C135),0)</f>
        <v>0</v>
      </c>
      <c r="BK135" s="276">
        <f>IF(BE135=BJ133,(4*C135),0)</f>
        <v>0</v>
      </c>
      <c r="BL135" s="274">
        <f>IF(BF135=BJ133,(4*C135),0)</f>
        <v>0</v>
      </c>
    </row>
    <row r="136" spans="1:64" ht="5.0999999999999996" customHeight="1" thickBot="1">
      <c r="A136" s="145"/>
      <c r="B136" s="122"/>
      <c r="C136" s="122"/>
      <c r="D136" s="122"/>
      <c r="E136" s="122"/>
      <c r="F136" s="122"/>
      <c r="G136" s="122"/>
      <c r="H136" s="122"/>
      <c r="I136" s="146"/>
    </row>
    <row r="137" spans="1:64" ht="14.25" customHeight="1" thickBot="1">
      <c r="A137" s="445"/>
      <c r="B137" s="96"/>
      <c r="C137" s="300">
        <f>B137</f>
        <v>0</v>
      </c>
      <c r="D137" s="96"/>
      <c r="E137" s="96"/>
      <c r="F137" s="300">
        <f>(B137&gt;0)*$H$9</f>
        <v>0</v>
      </c>
      <c r="G137" s="300">
        <f>(C137&gt;0)*$H$10</f>
        <v>0</v>
      </c>
      <c r="H137" s="300">
        <f>(D137&gt;0)*$H$11</f>
        <v>0</v>
      </c>
      <c r="I137" s="302">
        <f>(E137&gt;0)*$H$12</f>
        <v>0</v>
      </c>
      <c r="J137" s="345" t="s">
        <v>20</v>
      </c>
      <c r="S137" s="97" t="s">
        <v>14</v>
      </c>
      <c r="T137" s="98" t="s">
        <v>27</v>
      </c>
      <c r="U137" s="98" t="s">
        <v>28</v>
      </c>
      <c r="V137" s="98" t="s">
        <v>27</v>
      </c>
      <c r="W137" s="98" t="s">
        <v>28</v>
      </c>
      <c r="X137" s="98" t="s">
        <v>29</v>
      </c>
      <c r="Y137" s="66" t="s">
        <v>30</v>
      </c>
      <c r="Z137" s="153" t="s">
        <v>31</v>
      </c>
      <c r="AA137" s="153"/>
      <c r="AB137" s="153"/>
      <c r="AC137" s="154" t="s">
        <v>83</v>
      </c>
      <c r="AD137" s="100" t="s">
        <v>83</v>
      </c>
      <c r="AE137" s="100" t="s">
        <v>83</v>
      </c>
      <c r="AF137" s="100" t="s">
        <v>33</v>
      </c>
      <c r="AG137" s="100" t="s">
        <v>34</v>
      </c>
      <c r="AH137" s="98" t="s">
        <v>32</v>
      </c>
      <c r="AI137" s="98" t="s">
        <v>32</v>
      </c>
      <c r="AJ137" s="98" t="s">
        <v>51</v>
      </c>
      <c r="AK137" s="101" t="s">
        <v>36</v>
      </c>
      <c r="AM137" s="97" t="str">
        <f>informatieblad!$A$6</f>
        <v>FL20</v>
      </c>
      <c r="AN137" s="99"/>
      <c r="AO137" s="99"/>
      <c r="AP137" s="97" t="str">
        <f>informatieblad!$A$7</f>
        <v>FL30</v>
      </c>
      <c r="AQ137" s="99"/>
      <c r="AR137" s="66"/>
      <c r="AS137" s="99" t="str">
        <f>informatieblad!$A$8</f>
        <v>FL40</v>
      </c>
      <c r="AT137" s="99"/>
      <c r="AU137" s="66"/>
      <c r="AV137" s="97" t="str">
        <f>informatieblad!$A$5</f>
        <v>none</v>
      </c>
      <c r="AW137" s="99"/>
      <c r="AX137" s="264"/>
      <c r="AY137" s="83"/>
      <c r="AZ137" s="266" t="s">
        <v>17</v>
      </c>
      <c r="BA137" s="131"/>
      <c r="BB137" s="266" t="s">
        <v>37</v>
      </c>
      <c r="BC137" s="131"/>
      <c r="BD137" s="269" t="s">
        <v>38</v>
      </c>
      <c r="BE137" s="272"/>
      <c r="BF137" s="272"/>
      <c r="BG137" s="289">
        <f>informatieblad!$B$3</f>
        <v>0</v>
      </c>
      <c r="BH137" s="272"/>
      <c r="BI137" s="272"/>
      <c r="BJ137" s="289">
        <f>informatieblad!$B$4</f>
        <v>0</v>
      </c>
      <c r="BK137" s="272"/>
      <c r="BL137" s="264"/>
    </row>
    <row r="138" spans="1:64" ht="15" customHeight="1">
      <c r="A138" s="446"/>
      <c r="B138" s="202" t="str">
        <f>IF($C139&gt;0,IF(MAX(B137,E137)&lt;informatieblad!$Q$4,informatieblad!$P$3,IF(MAX(B137,E137)&gt;informatieblad!$R$4,informatieblad!$P$5,informatieblad!$P$4)),"")</f>
        <v/>
      </c>
      <c r="C138" s="202" t="str">
        <f>IF($C139&gt;0,IF(MAX(C137,E137)&lt;informatieblad!$Q$4,informatieblad!$P$3,IF(MAX(C137,E137)&gt;informatieblad!$R$4,informatieblad!$P$5,informatieblad!$P$4)),"")</f>
        <v/>
      </c>
      <c r="D138" s="203" t="str">
        <f>IF($C139&gt;0,IF(MAX(D137,E137)&lt;informatieblad!$Q$4,informatieblad!$P$3,IF(MAX(D137,E137)&gt;informatieblad!$R$4,informatieblad!$P$5,informatieblad!$P$4)),"")</f>
        <v/>
      </c>
      <c r="E138" s="190" t="str">
        <f>A137&amp;"-"&amp;informatieblad!$B$16&amp;"-"&amp;B137&amp;"-"&amp;C137&amp;"-"&amp;D137&amp;"-"&amp;E137&amp;"-"&amp;F137&amp;"-"&amp;G137&amp;"-"&amp;H137&amp;"-"&amp;I137&amp;"-"&amp;B138&amp;"-"&amp;C138&amp;"-"&amp;D138&amp;"-"&amp;G139</f>
        <v>-RctT--0---0-0-0-0----Options None</v>
      </c>
      <c r="F138" s="174"/>
      <c r="G138" s="174"/>
      <c r="H138" s="174"/>
      <c r="I138" s="199"/>
      <c r="S138" s="103">
        <f>A137</f>
        <v>0</v>
      </c>
      <c r="T138" s="104" t="s">
        <v>39</v>
      </c>
      <c r="U138" s="104" t="s">
        <v>39</v>
      </c>
      <c r="V138" s="104" t="s">
        <v>40</v>
      </c>
      <c r="W138" s="104" t="s">
        <v>40</v>
      </c>
      <c r="X138" s="104" t="s">
        <v>40</v>
      </c>
      <c r="Y138" s="105"/>
      <c r="Z138" s="155" t="s">
        <v>27</v>
      </c>
      <c r="AA138" s="155" t="s">
        <v>40</v>
      </c>
      <c r="AB138" s="155" t="s">
        <v>41</v>
      </c>
      <c r="AC138" s="156" t="s">
        <v>111</v>
      </c>
      <c r="AD138" s="104" t="s">
        <v>112</v>
      </c>
      <c r="AE138" s="107" t="s">
        <v>113</v>
      </c>
      <c r="AF138" s="107" t="s">
        <v>44</v>
      </c>
      <c r="AG138" s="107"/>
      <c r="AH138" s="104" t="s">
        <v>40</v>
      </c>
      <c r="AI138" s="104" t="s">
        <v>41</v>
      </c>
      <c r="AJ138" s="108"/>
      <c r="AK138" s="109"/>
      <c r="AM138" s="262" t="str">
        <f>informatieblad!$A$2</f>
        <v>FL20 loose</v>
      </c>
      <c r="AN138" s="263"/>
      <c r="AO138" s="263"/>
      <c r="AP138" s="262" t="str">
        <f>informatieblad!$A$3</f>
        <v>FL30 loose</v>
      </c>
      <c r="AQ138" s="263"/>
      <c r="AR138" s="105"/>
      <c r="AS138" s="263" t="str">
        <f>informatieblad!$A$4</f>
        <v>FL40 loose</v>
      </c>
      <c r="AT138" s="263"/>
      <c r="AU138" s="105"/>
      <c r="AV138" s="265"/>
      <c r="AW138" s="106"/>
      <c r="AX138" s="105"/>
      <c r="AY138" s="83"/>
      <c r="AZ138" s="267"/>
      <c r="BA138" s="83"/>
      <c r="BB138" s="267"/>
      <c r="BC138" s="83"/>
      <c r="BD138" s="265" t="s">
        <v>47</v>
      </c>
      <c r="BE138" s="106" t="s">
        <v>48</v>
      </c>
      <c r="BF138" s="106" t="s">
        <v>48</v>
      </c>
      <c r="BG138" s="290" t="s">
        <v>23</v>
      </c>
      <c r="BH138" s="83" t="s">
        <v>23</v>
      </c>
      <c r="BI138" s="83" t="s">
        <v>23</v>
      </c>
      <c r="BJ138" s="290" t="s">
        <v>23</v>
      </c>
      <c r="BK138" s="83" t="s">
        <v>23</v>
      </c>
      <c r="BL138" s="273" t="s">
        <v>23</v>
      </c>
    </row>
    <row r="139" spans="1:64" ht="15" thickBot="1">
      <c r="A139" s="447"/>
      <c r="B139" s="92" t="s">
        <v>23</v>
      </c>
      <c r="C139" s="110"/>
      <c r="D139" s="94">
        <f>C139*U139</f>
        <v>0</v>
      </c>
      <c r="E139" s="141" t="s">
        <v>24</v>
      </c>
      <c r="F139" s="200"/>
      <c r="G139" s="457" t="s">
        <v>25</v>
      </c>
      <c r="H139" s="491"/>
      <c r="I139" s="492"/>
      <c r="S139" s="111"/>
      <c r="T139" s="112">
        <f>(((2*(B137+E137))*(D137+G137+H137+F137))+((2*(D137+E137))*(C137+I137+F137)))/1000000</f>
        <v>0</v>
      </c>
      <c r="U139" s="112">
        <f>((IF(T139&lt;=informatieblad!$I$16,informatieblad!$I$16,IF(T139&gt;=informatieblad!$I$16,T139))))</f>
        <v>0.5</v>
      </c>
      <c r="V139" s="112">
        <f>(((2*(B137+E137))*(D137+G137+H137+F137))+((2*(D137+E137))*(C137+I137+F137)))/1000000</f>
        <v>0</v>
      </c>
      <c r="W139" s="112">
        <f>((IF(V139&lt;=informatieblad!$H$16,informatieblad!$H$16,IF(V139&gt;=informatieblad!$H$16,V139))))</f>
        <v>0</v>
      </c>
      <c r="X139" s="113">
        <f>((W139*AH139)+(W139*AA139))*C139</f>
        <v>0</v>
      </c>
      <c r="Y139" s="114">
        <f>((U139*AI139)+(U139*AB139))*C139</f>
        <v>0</v>
      </c>
      <c r="Z139" s="115" t="str">
        <f>G139</f>
        <v>Options None</v>
      </c>
      <c r="AA139" s="115">
        <f>VLOOKUP(G139,informatieblad!$A$37:$D$41,2,FALSE)</f>
        <v>0</v>
      </c>
      <c r="AB139" s="115">
        <f>VLOOKUP(G139,informatieblad!$A$37:$D$41,4,FALSE)</f>
        <v>0</v>
      </c>
      <c r="AC139" s="180">
        <f>(MAX(J137,K137))</f>
        <v>0</v>
      </c>
      <c r="AD139" s="119">
        <f>(MAX(L137,M137))</f>
        <v>0</v>
      </c>
      <c r="AE139" s="119">
        <f>(MAX(J137,L137))</f>
        <v>0</v>
      </c>
      <c r="AF139" s="119">
        <f>(MAX(B137:E137))</f>
        <v>0</v>
      </c>
      <c r="AG139" s="119">
        <f>LOOKUP(AF139,informatieblad!$C$27:$C$32,informatieblad!$A$27:$A$32)</f>
        <v>0.5</v>
      </c>
      <c r="AH139" s="118">
        <f>VLOOKUP(AG139,informatieblad!$A$27:$M$32,6,FALSE)</f>
        <v>0</v>
      </c>
      <c r="AI139" s="118">
        <f>VLOOKUP(AG139,informatieblad!$A$27:$M$32,8,FALSE)</f>
        <v>45.1248</v>
      </c>
      <c r="AJ139" s="120">
        <f>VLOOKUP(AG139,informatieblad!$A$27:$M$32,13,FALSE)</f>
        <v>4</v>
      </c>
      <c r="AK139" s="121">
        <f>ROUND((AJ139*V139),1)</f>
        <v>0</v>
      </c>
      <c r="AM139" s="111">
        <f>(IF(B138=AM137,((2*B137)+(2*E137)),IF(B138=AM138,((2*B137)+(2*E137)),0)))*C139</f>
        <v>0</v>
      </c>
      <c r="AN139" s="261">
        <f>(IF(C138=AM137,((2*C137)+(2*E137)),IF(C138=AM138,((2*C137)+(2*E137)),0)))*C139</f>
        <v>0</v>
      </c>
      <c r="AO139" s="261">
        <f>(IF(D138=AM137,((2*D137)+(2*E137)),IF(D138=AM138,((2*D137)+(2*E137)),0)))*C139</f>
        <v>0</v>
      </c>
      <c r="AP139" s="111">
        <f>(IF(B138=AP137,((2*B137)+(2*E137)),IF(B138=AP138,((2*B137)+(2*E137)),0)))*C139</f>
        <v>0</v>
      </c>
      <c r="AQ139" s="261">
        <f>(IF(C138=AP137,((2*C137)+(2*E137)),IF(C138=AP138,((2*C137)+(2*E137)),0)))*C139</f>
        <v>0</v>
      </c>
      <c r="AR139" s="260">
        <f>(IF(D138=AP137,((2*D137)+(2*E137)),IF(D138=AP138,((2*D137)+(2*E137)),0)))*C139</f>
        <v>0</v>
      </c>
      <c r="AS139" s="261">
        <f>(IF(B138=AS137,((2*B137)+(2*E137)),IF(B138=AS138,((2*B137)+(2*E137)),0)))*C139</f>
        <v>0</v>
      </c>
      <c r="AT139" s="261">
        <f>(IF(C138=AS137,((2*C137)+(2*E137)),IF(C138=AS138,((2*C137)+(2*E137)),0)))*C139</f>
        <v>0</v>
      </c>
      <c r="AU139" s="260">
        <f>(IF(D138=AS137,((2*D137)+(2*E137)),IF(D138=AS138,((2*D137)+(2*E137)),0)))*C139</f>
        <v>0</v>
      </c>
      <c r="AV139" s="111">
        <f>(IF(B138=AV137,((2*B137)+(2*E137)),0))*C139</f>
        <v>0</v>
      </c>
      <c r="AW139" s="261">
        <f>(IF(C138=AV137,((2*C137)+(2*E137)),0))*C139</f>
        <v>0</v>
      </c>
      <c r="AX139" s="260">
        <f>(IF(D138=AV137,((2*D137)+(2*E137)),0))*C139</f>
        <v>0</v>
      </c>
      <c r="AY139" s="83"/>
      <c r="AZ139" s="268">
        <f>(D137+H125+H125+G137+I137)*C139</f>
        <v>0</v>
      </c>
      <c r="BA139" s="83"/>
      <c r="BB139" s="268">
        <f>(AE139+100)*C139</f>
        <v>0</v>
      </c>
      <c r="BC139" s="83"/>
      <c r="BD139" s="111" t="str">
        <f>IF(B138=informatieblad!$A$6,informatieblad!$B$6,IF(B138=informatieblad!$A$7,informatieblad!$B$7,IF(B138=informatieblad!$A$8,informatieblad!$B$8,IF(B138=informatieblad!$A$2,informatieblad!$B$2,IF(B138=informatieblad!$A$3,informatieblad!$B$3,IF(B138=informatieblad!$A$4,informatieblad!$B$4,IF(B138=informatieblad!$A$5,informatieblad!$B$5,"")))))))</f>
        <v/>
      </c>
      <c r="BE139" s="275" t="str">
        <f>IF(C138=informatieblad!$A$6,informatieblad!$B$6,IF(C138=informatieblad!$A$7,informatieblad!$B$7,IF(C138=informatieblad!$A$8,informatieblad!$B$8,IF(C138=informatieblad!$A$2,informatieblad!$B$2,IF(C138=informatieblad!$A$3,informatieblad!$B$3,IF(C138=informatieblad!$A$4,informatieblad!$B$4,IF(C138=informatieblad!$A$5,informatieblad!$B$5,"")))))))</f>
        <v/>
      </c>
      <c r="BF139" s="276" t="str">
        <f>IF(D138=informatieblad!$A$6,informatieblad!$B$6,IF(D138=informatieblad!$A$7,informatieblad!$B$7,IF(D138=informatieblad!$A$8,informatieblad!$B$8,IF(D138=informatieblad!$A$2,informatieblad!$B$2,IF(D138=informatieblad!$A$3,informatieblad!$B$3,IF(D138=informatieblad!$A$4,informatieblad!$B$4,IF(D138=informatieblad!$A$5,informatieblad!$B$5,"")))))))</f>
        <v/>
      </c>
      <c r="BG139" s="276">
        <f>IF(BD139=BG137,(4*C139),0)</f>
        <v>0</v>
      </c>
      <c r="BH139" s="276">
        <f>IF(BE139=BG137,(4*C139),0)</f>
        <v>0</v>
      </c>
      <c r="BI139" s="276">
        <f>IF(BF139=BG137,(4*C139),0)</f>
        <v>0</v>
      </c>
      <c r="BJ139" s="275">
        <f>IF(BD139=BJ137,(4*C139),0)</f>
        <v>0</v>
      </c>
      <c r="BK139" s="276">
        <f>IF(BE139=BJ137,(4*C139),0)</f>
        <v>0</v>
      </c>
      <c r="BL139" s="274">
        <f>IF(BF139=BJ137,(4*C139),0)</f>
        <v>0</v>
      </c>
    </row>
    <row r="140" spans="1:64" ht="14.25" customHeight="1" thickBot="1">
      <c r="AN140" s="291" t="s">
        <v>66</v>
      </c>
      <c r="AO140" s="292">
        <f>SUM(AM23:AO23,AM27:AO27,AM31:AO31,AM35:AO35,AM39:AO39,AM43:AO43,AM47:AO47,AM51:AO51,AM55:AO55,AM59:AO59,AM63:AO63,AM67:AO67,AM71:AO71,AM75:AO75,AM79:AO79,AM83:AO83,AM87:AO87,AM91:AO91,AM95:AO95,AM99:AO99,AM103:AO103,AM107:AO107,AM111:AO111,AM115:AO115,AM119:AO119,AM123:AO123,AM127:AO127,AM131:AO131,AM135:AO135,AM139:AO139)</f>
        <v>0</v>
      </c>
      <c r="AQ140" s="291" t="s">
        <v>67</v>
      </c>
      <c r="AR140" s="292">
        <f>SUM(AP23:AR23,AP27:AR27,AP31:AR31,AP35:AR35,AP39:AR39,AP43:AR43,AP47:AR47,AP51:AR51,AP55:AR55,AP59:AR59,AP63:AR63,AP67:AR67,AP71:AR71,AP75:AR75,AP79:AR79,AP83:AR83,AP87:AR87,AP91:AR91,AP95:AR95,AP99:AR99,AP103:AR103,AP107:AR107,AP111:AR111,AP115:AR115,AP119:AR119,AP123:AR123,AP127:AR127,AP131:AR131,AP135:AR135,AP139:AR139)</f>
        <v>0</v>
      </c>
      <c r="AT140" s="291" t="s">
        <v>68</v>
      </c>
      <c r="AU140" s="292">
        <f>SUM(AS23:AU23,AS27:AU27,AS31:AU31,AS35:AU35,AS39:AU39,AS43:AU43,AS47:AU47,AS51:AU51,AS55:AU55)</f>
        <v>0</v>
      </c>
      <c r="AW140" s="291" t="s">
        <v>126</v>
      </c>
      <c r="AX140" s="292">
        <f>SUM(AV23:AX23,AV27:AX27,AV31:AX31,AV35:AX35,AV39:AX39,AV43:AX43,AV47:AX47,AV51:AX51,AV55:AX55,AV59:AX59,AV63:AX63,AV67:AX67,AV71:AX71,AV75:AX75,AV79:AX79,AV83:AX83,AV87:AX87,AV91:AX91,AV95:AX95,AV99:AX99,AV103:AX103,AV107:AX107,AV111:AX111,AV115:AX115,AV119:AX119,AV123:AX123,AV127:AX127,AV131:AX131,AV135:AX135,AV139:AX139)</f>
        <v>0</v>
      </c>
      <c r="AZ140" s="324">
        <f>SUM(AZ55,AZ51,AZ47,AZ43,AZ39,AZ35,AZ31,AZ27,AZ23,AZ59,AZ63,AZ67,AZ71,AZ75,AZ79,AZ83,AZ87,AZ91,AZ95,AZ99,AZ103,AZ107,AZ111,AZ115,AZ119,AZ123,AZ127,AZ131,AZ135,AZ139)</f>
        <v>0</v>
      </c>
      <c r="BH140" s="291" t="s">
        <v>127</v>
      </c>
      <c r="BI140" s="292">
        <f>SUM(BG23:BI23,BG27:BI27,BG31:BI31,BG35:BI35,BG39:BI39,BG43:BI43,BG47:BI47,BG51:BI51,BG55:BI55,BG59:BI59,BG63:BI63,BG67:BI67,BG71:BI71,BG75:BI75,BG79:BI79,BG83:BI83,BG87:BI87,BG91:BI91,BG95:BI95,BG99:BI99,BG103:BI103,BG107:BI107,BG111:BI111,BG115:BI115,BG119:BI119,BG123:BI123,BG127:BI127,BG131:BI131,BG135:BI135,BG139:BI139)</f>
        <v>0</v>
      </c>
      <c r="BJ140" s="291" t="s">
        <v>128</v>
      </c>
      <c r="BK140" s="292">
        <f>SUM(BJ23:BL23,BJ27:BL27,BJ31:BL31,BJ35:BL35,BJ39:BL39,BJ43:BL43,BJ47:BL47,BJ51:BL51,BJ55:BL55,BJ59:BL59,BJ63:BL63,BJ67:BL67,BJ71:BL71,BJ75:BL75,BJ79:BL79,BJ83:BL83,BJ87:BL87,BJ91:BL91,BJ95:BL95,BJ99:BL99,BJ103:BL103,BJ107:BL107,BJ111:BL111,BJ115:BL115,BJ119:BL119,BJ123:BL123,BJ127:BL127,BJ131:BL131,BJ135:BL135,BJ139:BL139)</f>
        <v>0</v>
      </c>
    </row>
  </sheetData>
  <sheetProtection algorithmName="SHA-512" hashValue="mu8Rx3aDS8emS89XQeGZ2PA+iFXsg3saBRZDR8HeN7LWrnxK9zjkfA4gKW8FSnhrArTJiAIniAT8gJRapCDLZw==" saltValue="2/lNjJJDmoSw8ijyWg29CA==" spinCount="100000" sheet="1" objects="1" scenarios="1"/>
  <mergeCells count="62">
    <mergeCell ref="A101:A103"/>
    <mergeCell ref="G103:I103"/>
    <mergeCell ref="A129:A131"/>
    <mergeCell ref="G131:I131"/>
    <mergeCell ref="A133:A135"/>
    <mergeCell ref="G135:I135"/>
    <mergeCell ref="A105:A107"/>
    <mergeCell ref="G107:I107"/>
    <mergeCell ref="A109:A111"/>
    <mergeCell ref="G111:I111"/>
    <mergeCell ref="A113:A115"/>
    <mergeCell ref="G115:I115"/>
    <mergeCell ref="A137:A139"/>
    <mergeCell ref="G139:I139"/>
    <mergeCell ref="A117:A119"/>
    <mergeCell ref="G119:I119"/>
    <mergeCell ref="A121:A123"/>
    <mergeCell ref="G123:I123"/>
    <mergeCell ref="A125:A127"/>
    <mergeCell ref="G127:I127"/>
    <mergeCell ref="A93:A95"/>
    <mergeCell ref="G95:I95"/>
    <mergeCell ref="A97:A99"/>
    <mergeCell ref="G99:I99"/>
    <mergeCell ref="A81:A83"/>
    <mergeCell ref="G83:I83"/>
    <mergeCell ref="A85:A87"/>
    <mergeCell ref="G87:I87"/>
    <mergeCell ref="A89:A91"/>
    <mergeCell ref="G91:I91"/>
    <mergeCell ref="A69:A71"/>
    <mergeCell ref="G71:I71"/>
    <mergeCell ref="A73:A75"/>
    <mergeCell ref="G75:I75"/>
    <mergeCell ref="A77:A79"/>
    <mergeCell ref="G79:I79"/>
    <mergeCell ref="A57:A59"/>
    <mergeCell ref="G59:I59"/>
    <mergeCell ref="A61:A63"/>
    <mergeCell ref="G63:I63"/>
    <mergeCell ref="A65:A67"/>
    <mergeCell ref="G67:I67"/>
    <mergeCell ref="A29:A31"/>
    <mergeCell ref="G31:I31"/>
    <mergeCell ref="G19:I19"/>
    <mergeCell ref="A17:A19"/>
    <mergeCell ref="A21:A23"/>
    <mergeCell ref="G23:I23"/>
    <mergeCell ref="A25:A27"/>
    <mergeCell ref="G27:I27"/>
    <mergeCell ref="A33:A35"/>
    <mergeCell ref="G35:I35"/>
    <mergeCell ref="A37:A39"/>
    <mergeCell ref="G39:I39"/>
    <mergeCell ref="A41:A43"/>
    <mergeCell ref="G43:I43"/>
    <mergeCell ref="A45:A47"/>
    <mergeCell ref="G47:I47"/>
    <mergeCell ref="A49:A51"/>
    <mergeCell ref="G51:I51"/>
    <mergeCell ref="A53:A55"/>
    <mergeCell ref="G55:I55"/>
  </mergeCells>
  <phoneticPr fontId="3" type="noConversion"/>
  <dataValidations count="2">
    <dataValidation type="list" allowBlank="1" showInputMessage="1" showErrorMessage="1" sqref="B22:D22 B26:D26 B30:D30 B34:D34 B38:D38 B46:D46 B42:D42 B50:D50 B54:D54 B58:D58 B62:D62 B66:D66 B70:D70 B74:D74 B82:D82 B78:D78 B86:D86 B90:D90 B94:D94 B98:D98 B102:D102 B106:D106 B110:D110 B114:D114 B118:D118 B126:D126 B122:D122 B130:D130 B134:D134 B138:D138" xr:uid="{5DE423E5-42C2-4D73-AFDB-D02DDFAD3D6D}">
      <formula1>Options_flanges</formula1>
    </dataValidation>
    <dataValidation type="list" allowBlank="1" showInputMessage="1" showErrorMessage="1" sqref="G19:I19 G23:I23 G27:I27 G31:I31 G35:I35 G39:I39 G43:I43 G47:I47 G51:I51 G55:I55 G87:I87 G59:I59 G63:I63 G67:I67 G71:I71 G75:I75 G79:I79 G83:I83 G91:I91 G95:I95 G99:I99 G131:I131 G103:I103 G107:I107 G111:I111 G115:I115 G119:I119 G123:I123 G127:I127 G135:I135 G139:I139" xr:uid="{5EF0C253-7248-48F2-9AAC-8C671BB6BD2D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A660-457B-416F-8D6B-B3F51966BADD}">
  <dimension ref="A1:X16"/>
  <sheetViews>
    <sheetView workbookViewId="0">
      <selection activeCell="G19" sqref="G19"/>
    </sheetView>
  </sheetViews>
  <sheetFormatPr defaultColWidth="9" defaultRowHeight="14.25"/>
  <cols>
    <col min="1" max="1" width="17.140625" style="2" bestFit="1" customWidth="1"/>
    <col min="2" max="2" width="25.85546875" style="259" bestFit="1" customWidth="1"/>
    <col min="3" max="3" width="15.5703125" style="2" bestFit="1" customWidth="1"/>
    <col min="4" max="4" width="14.85546875" style="259" bestFit="1" customWidth="1"/>
    <col min="5" max="5" width="19.85546875" style="259" bestFit="1" customWidth="1"/>
    <col min="6" max="6" width="9.85546875" style="259" bestFit="1" customWidth="1"/>
    <col min="7" max="7" width="11.28515625" style="259" bestFit="1" customWidth="1"/>
    <col min="8" max="8" width="11.85546875" style="2" bestFit="1" customWidth="1"/>
    <col min="9" max="9" width="29" style="2" bestFit="1" customWidth="1"/>
    <col min="10" max="14" width="9" style="2"/>
    <col min="15" max="15" width="9.85546875" style="2" bestFit="1" customWidth="1"/>
    <col min="16" max="23" width="8.7109375" style="2" customWidth="1"/>
    <col min="24" max="16384" width="9" style="2"/>
  </cols>
  <sheetData>
    <row r="1" spans="1:24" ht="15" thickBot="1"/>
    <row r="2" spans="1:24" ht="15" thickBot="1">
      <c r="A2" s="2" t="s">
        <v>129</v>
      </c>
      <c r="B2" s="259" t="s">
        <v>5</v>
      </c>
      <c r="C2" s="2" t="s">
        <v>130</v>
      </c>
      <c r="D2" s="259" t="s">
        <v>131</v>
      </c>
      <c r="E2" s="259" t="s">
        <v>132</v>
      </c>
      <c r="F2" s="259" t="s">
        <v>133</v>
      </c>
      <c r="G2" s="259" t="s">
        <v>134</v>
      </c>
      <c r="H2" s="2" t="s">
        <v>135</v>
      </c>
      <c r="I2" s="2" t="s">
        <v>136</v>
      </c>
      <c r="O2" s="316" t="str">
        <f>informatieblad!B12</f>
        <v>RctD</v>
      </c>
      <c r="P2" s="317" t="str">
        <f>informatieblad!B13</f>
        <v>RctR</v>
      </c>
      <c r="Q2" s="317" t="str">
        <f>informatieblad!B14</f>
        <v>RctB</v>
      </c>
      <c r="R2" s="317" t="str">
        <f>informatieblad!B15</f>
        <v>RctRR</v>
      </c>
      <c r="S2" s="317" t="str">
        <f>informatieblad!B16</f>
        <v>RctT</v>
      </c>
      <c r="T2" s="317" t="str">
        <f>informatieblad!B17</f>
        <v>RctE</v>
      </c>
      <c r="U2" s="317" t="str">
        <f>informatieblad!B18</f>
        <v>RctG</v>
      </c>
      <c r="V2" s="317" t="str">
        <f>informatieblad!B19</f>
        <v>RctS</v>
      </c>
      <c r="W2" s="317" t="str">
        <f>informatieblad!B20</f>
        <v>RctJ</v>
      </c>
      <c r="X2" s="315"/>
    </row>
    <row r="3" spans="1:24">
      <c r="B3" s="259" t="s">
        <v>137</v>
      </c>
      <c r="F3" s="325"/>
      <c r="G3" s="325"/>
      <c r="H3" s="279">
        <f>SUM(O3:W3)/2</f>
        <v>0</v>
      </c>
      <c r="I3" s="2" t="s">
        <v>138</v>
      </c>
      <c r="O3" s="313">
        <f>'Rechte Kanalen'!AZ140</f>
        <v>0</v>
      </c>
      <c r="P3" s="314">
        <f>Verloopstukken!BB139</f>
        <v>0</v>
      </c>
      <c r="Q3" s="314">
        <f>Bochten!AT140</f>
        <v>0</v>
      </c>
      <c r="R3" s="314">
        <f>'Verlopen Recht-Rond'!AZ146</f>
        <v>0</v>
      </c>
      <c r="S3" s="314">
        <f>'T-stukken'!BI140</f>
        <v>0</v>
      </c>
      <c r="T3" s="314">
        <f>Deksels!AY142</f>
        <v>0</v>
      </c>
      <c r="U3" s="314">
        <f>'Eindstukken gaas 45'!AY141</f>
        <v>0</v>
      </c>
      <c r="V3" s="314">
        <f>'Rechte aftakkingen'!AY143</f>
        <v>0</v>
      </c>
      <c r="W3" s="314">
        <f>Sprongstukken!BI139</f>
        <v>0</v>
      </c>
      <c r="X3" s="308"/>
    </row>
    <row r="4" spans="1:24">
      <c r="B4" s="259" t="s">
        <v>139</v>
      </c>
      <c r="F4" s="325"/>
      <c r="G4" s="325"/>
      <c r="H4" s="279">
        <f>((SUM(O4:W4)/2))+(H16*2)</f>
        <v>0</v>
      </c>
      <c r="I4" s="2" t="s">
        <v>138</v>
      </c>
      <c r="J4" s="2" t="s">
        <v>140</v>
      </c>
      <c r="K4" s="259" t="s">
        <v>141</v>
      </c>
      <c r="O4" s="309">
        <f>'Rechte Kanalen'!AZ140</f>
        <v>0</v>
      </c>
      <c r="P4" s="307">
        <f>Verloopstukken!BB139</f>
        <v>0</v>
      </c>
      <c r="Q4" s="307">
        <f>Bochten!AT140</f>
        <v>0</v>
      </c>
      <c r="R4" s="307">
        <f>'Verlopen Recht-Rond'!AZ146</f>
        <v>0</v>
      </c>
      <c r="S4" s="307">
        <f>'T-stukken'!BI140</f>
        <v>0</v>
      </c>
      <c r="T4" s="307">
        <f>Deksels!AY142</f>
        <v>0</v>
      </c>
      <c r="U4" s="307">
        <f>'Eindstukken gaas 45'!AY141</f>
        <v>0</v>
      </c>
      <c r="V4" s="307">
        <f>'Rechte aftakkingen'!AY143</f>
        <v>0</v>
      </c>
      <c r="W4" s="307">
        <f>Sprongstukken!BI139</f>
        <v>0</v>
      </c>
      <c r="X4" s="310"/>
    </row>
    <row r="5" spans="1:24">
      <c r="B5" s="259" t="s">
        <v>142</v>
      </c>
      <c r="F5" s="325"/>
      <c r="G5" s="325"/>
      <c r="H5" s="279">
        <f t="shared" ref="H5:H6" si="0">SUM(O5:W5)/2</f>
        <v>0</v>
      </c>
      <c r="I5" s="2" t="s">
        <v>143</v>
      </c>
      <c r="O5" s="309">
        <f>'Rechte Kanalen'!BB140</f>
        <v>0</v>
      </c>
      <c r="P5" s="307">
        <f>Verloopstukken!BD139</f>
        <v>0</v>
      </c>
      <c r="Q5" s="307">
        <f>Bochten!AV140</f>
        <v>0</v>
      </c>
      <c r="R5" s="307">
        <f>'Verlopen Recht-Rond'!BA146</f>
        <v>0</v>
      </c>
      <c r="S5" s="307">
        <f>'T-stukken'!BK140</f>
        <v>0</v>
      </c>
      <c r="T5" s="307">
        <f>Deksels!AZ142</f>
        <v>0</v>
      </c>
      <c r="U5" s="307">
        <f>'Eindstukken gaas 45'!AZ141</f>
        <v>0</v>
      </c>
      <c r="V5" s="307">
        <f>'Rechte aftakkingen'!AZ143</f>
        <v>0</v>
      </c>
      <c r="W5" s="307">
        <f>Sprongstukken!BK139</f>
        <v>0</v>
      </c>
      <c r="X5" s="310"/>
    </row>
    <row r="6" spans="1:24" ht="13.5" customHeight="1">
      <c r="B6" s="259" t="s">
        <v>144</v>
      </c>
      <c r="F6" s="325"/>
      <c r="G6" s="325"/>
      <c r="H6" s="279">
        <f t="shared" si="0"/>
        <v>0</v>
      </c>
      <c r="I6" s="2" t="s">
        <v>143</v>
      </c>
      <c r="O6" s="318">
        <f>'Rechte Kanalen'!BB140</f>
        <v>0</v>
      </c>
      <c r="P6" s="319">
        <f>Verloopstukken!BD139</f>
        <v>0</v>
      </c>
      <c r="Q6" s="319">
        <f>Bochten!AV140</f>
        <v>0</v>
      </c>
      <c r="R6" s="319">
        <f>'Verlopen Recht-Rond'!BA146</f>
        <v>0</v>
      </c>
      <c r="S6" s="319">
        <f>'T-stukken'!BK140</f>
        <v>0</v>
      </c>
      <c r="T6" s="319">
        <f>Deksels!AZ142</f>
        <v>0</v>
      </c>
      <c r="U6" s="319">
        <f>'Eindstukken gaas 45'!AZ141</f>
        <v>0</v>
      </c>
      <c r="V6" s="319">
        <f>'Rechte aftakkingen'!AZ143</f>
        <v>0</v>
      </c>
      <c r="W6" s="319">
        <f>Sprongstukken!BK139</f>
        <v>0</v>
      </c>
      <c r="X6" s="320"/>
    </row>
    <row r="7" spans="1:24">
      <c r="B7" s="259" t="s">
        <v>145</v>
      </c>
      <c r="F7" s="325"/>
      <c r="G7" s="325"/>
      <c r="H7" s="279">
        <f>(((O7+P7+Q7+R7+S7+T7+U7+V7+W7)/2)/1000)</f>
        <v>0</v>
      </c>
      <c r="O7" s="309">
        <f>'Rechte Kanalen'!AJ140+'Rechte Kanalen'!AL140+'Rechte Kanalen'!AN140</f>
        <v>0</v>
      </c>
      <c r="P7" s="307">
        <f>Verloopstukken!AL139+Verloopstukken!AN139+Verloopstukken!AP139</f>
        <v>0</v>
      </c>
      <c r="Q7" s="307">
        <f>Bochten!AG140+Bochten!AI140+Bochten!AK140</f>
        <v>0</v>
      </c>
      <c r="R7" s="307">
        <f>'Verlopen Recht-Rond'!AO146+'Verlopen Recht-Rond'!AP146+'Verlopen Recht-Rond'!AQ146</f>
        <v>0</v>
      </c>
      <c r="S7" s="307">
        <f>'T-stukken'!AO140+'T-stukken'!AR140+'T-stukken'!AU140</f>
        <v>0</v>
      </c>
      <c r="T7" s="307">
        <f>Deksels!AO142+Deksels!AP142+Deksels!AQ142</f>
        <v>0</v>
      </c>
      <c r="U7" s="307">
        <f>'Eindstukken gaas 45'!AO141+'Eindstukken gaas 45'!AP141+'Eindstukken gaas 45'!AQ141</f>
        <v>0</v>
      </c>
      <c r="V7" s="307">
        <f>'Rechte aftakkingen'!AO143+'Rechte aftakkingen'!AP143+'Rechte aftakkingen'!AQ143</f>
        <v>0</v>
      </c>
      <c r="W7" s="307">
        <f>Sprongstukken!AT139+Sprongstukken!AV139+Sprongstukken!AX139</f>
        <v>0</v>
      </c>
      <c r="X7" s="310"/>
    </row>
    <row r="8" spans="1:24">
      <c r="B8" s="259" t="s">
        <v>146</v>
      </c>
      <c r="F8" s="325"/>
      <c r="G8" s="325"/>
      <c r="I8" s="259" t="s">
        <v>147</v>
      </c>
      <c r="O8" s="309"/>
      <c r="P8" s="307"/>
      <c r="Q8" s="307"/>
      <c r="R8" s="307"/>
      <c r="S8" s="307"/>
      <c r="T8" s="307"/>
      <c r="U8" s="307"/>
      <c r="V8" s="307"/>
      <c r="W8" s="307"/>
      <c r="X8" s="310"/>
    </row>
    <row r="9" spans="1:24">
      <c r="B9" s="259" t="s">
        <v>148</v>
      </c>
      <c r="F9" s="325"/>
      <c r="G9" s="325"/>
      <c r="I9" s="259" t="s">
        <v>149</v>
      </c>
      <c r="O9" s="309"/>
      <c r="P9" s="307"/>
      <c r="Q9" s="307"/>
      <c r="R9" s="307"/>
      <c r="S9" s="307"/>
      <c r="T9" s="307"/>
      <c r="U9" s="307"/>
      <c r="V9" s="307"/>
      <c r="W9" s="307"/>
      <c r="X9" s="310"/>
    </row>
    <row r="10" spans="1:24">
      <c r="A10" s="2">
        <v>20051035</v>
      </c>
      <c r="B10" s="259" t="s">
        <v>150</v>
      </c>
      <c r="C10" s="2">
        <v>2</v>
      </c>
      <c r="D10" s="259">
        <v>20002002</v>
      </c>
      <c r="E10" s="259" t="s">
        <v>151</v>
      </c>
      <c r="F10" s="325"/>
      <c r="G10" s="325"/>
      <c r="H10" s="2">
        <f>SUM(O10:X10)/1000</f>
        <v>0</v>
      </c>
      <c r="I10" s="2" t="s">
        <v>152</v>
      </c>
      <c r="O10" s="309">
        <f>'Rechte Kanalen'!AT142</f>
        <v>0</v>
      </c>
      <c r="P10" s="307">
        <f>Verloopstukken!AV141</f>
        <v>0</v>
      </c>
      <c r="Q10" s="328">
        <f>Bochten!AN142*2</f>
        <v>0</v>
      </c>
      <c r="R10" s="307">
        <f>'Verlopen Recht-Rond'!AV146</f>
        <v>0</v>
      </c>
      <c r="S10" s="307"/>
      <c r="T10" s="307"/>
      <c r="U10" s="307"/>
      <c r="V10" s="307"/>
      <c r="W10" s="307"/>
      <c r="X10" s="310"/>
    </row>
    <row r="11" spans="1:24" ht="15" thickBot="1">
      <c r="B11" s="259" t="s">
        <v>153</v>
      </c>
      <c r="C11" s="2">
        <v>2</v>
      </c>
      <c r="D11" s="326">
        <v>20008002</v>
      </c>
      <c r="E11" s="259" t="s">
        <v>151</v>
      </c>
      <c r="F11" s="325"/>
      <c r="G11" s="325"/>
      <c r="H11" s="2">
        <f>SUM(O11:X11)/1000</f>
        <v>0</v>
      </c>
      <c r="I11" s="2" t="s">
        <v>154</v>
      </c>
      <c r="O11" s="309">
        <f>'Rechte Kanalen'!AU142</f>
        <v>0</v>
      </c>
      <c r="P11" s="307">
        <f>Verloopstukken!AW141</f>
        <v>0</v>
      </c>
      <c r="Q11" s="329">
        <f>Bochten!AO142*2</f>
        <v>0</v>
      </c>
      <c r="R11" s="307">
        <f>'Verlopen Recht-Rond'!AW146</f>
        <v>0</v>
      </c>
      <c r="S11" s="307"/>
      <c r="T11" s="319"/>
      <c r="U11" s="319"/>
      <c r="V11" s="319"/>
      <c r="W11" s="307"/>
      <c r="X11" s="310"/>
    </row>
    <row r="12" spans="1:24" ht="15" thickBot="1">
      <c r="B12" s="259" t="s">
        <v>155</v>
      </c>
      <c r="C12" s="2">
        <v>1</v>
      </c>
      <c r="F12" s="325"/>
      <c r="G12" s="325"/>
      <c r="H12" s="279">
        <f>H16*2</f>
        <v>0</v>
      </c>
      <c r="O12" s="311">
        <f>'Rechte Kanalen'!AR140</f>
        <v>0</v>
      </c>
      <c r="P12" s="321">
        <f>Verloopstukken!AT139</f>
        <v>0</v>
      </c>
      <c r="Q12" s="323">
        <f>Bochten!Q1</f>
        <v>0</v>
      </c>
      <c r="R12" s="322">
        <f>'Verlopen Recht-Rond'!AT146</f>
        <v>0</v>
      </c>
      <c r="S12" s="321">
        <f>'T-stukken'!AZ140</f>
        <v>0</v>
      </c>
      <c r="T12" s="323">
        <f>Deksels!Y1</f>
        <v>0</v>
      </c>
      <c r="U12" s="323">
        <f>'Eindstukken gaas 45'!Y1</f>
        <v>0</v>
      </c>
      <c r="V12" s="323">
        <f>'Rechte aftakkingen'!Y1</f>
        <v>0</v>
      </c>
      <c r="W12" s="322">
        <f>Sprongstukken!BB139</f>
        <v>0</v>
      </c>
      <c r="X12" s="312"/>
    </row>
    <row r="13" spans="1:24">
      <c r="F13" s="325"/>
      <c r="G13" s="325"/>
      <c r="H13" s="279"/>
    </row>
    <row r="14" spans="1:24">
      <c r="F14" s="325"/>
      <c r="G14" s="325"/>
      <c r="H14" s="279"/>
    </row>
    <row r="15" spans="1:24">
      <c r="F15" s="325"/>
      <c r="G15" s="325"/>
      <c r="H15" s="279"/>
    </row>
    <row r="16" spans="1:24">
      <c r="B16" s="259" t="s">
        <v>156</v>
      </c>
      <c r="F16" s="325"/>
      <c r="G16" s="325"/>
      <c r="H16" s="279">
        <f>(((O12+P12+S12+R12+W12)/2500)+((Q12*2)+T12+U12+V12))</f>
        <v>0</v>
      </c>
    </row>
  </sheetData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5672-F07C-4618-85AC-50E38D80DBD6}">
  <sheetPr codeName="Blad5">
    <tabColor theme="2" tint="-0.249977111117893"/>
  </sheetPr>
  <dimension ref="A1:AZ142"/>
  <sheetViews>
    <sheetView showGridLines="0" showZeros="0" view="pageBreakPreview" zoomScaleNormal="100" zoomScaleSheetLayoutView="100" workbookViewId="0">
      <pane xSplit="9" ySplit="17" topLeftCell="J18" activePane="bottomRight" state="frozen"/>
      <selection pane="bottomRight" activeCell="A22" sqref="A22:A24"/>
      <selection pane="bottomLeft" activeCell="A18" sqref="A18"/>
      <selection pane="topRight" activeCell="J1" sqref="J1"/>
    </sheetView>
  </sheetViews>
  <sheetFormatPr defaultColWidth="9.140625" defaultRowHeight="15"/>
  <cols>
    <col min="1" max="6" width="9.140625" style="152"/>
    <col min="7" max="9" width="11.7109375" style="152" customWidth="1"/>
    <col min="10" max="10" width="50.7109375" style="152" customWidth="1"/>
    <col min="11" max="18" width="0" style="152" hidden="1" customWidth="1"/>
    <col min="19" max="19" width="19.7109375" style="152" hidden="1" customWidth="1"/>
    <col min="20" max="20" width="0" style="152" hidden="1" customWidth="1"/>
    <col min="21" max="21" width="13.140625" style="152" hidden="1" customWidth="1"/>
    <col min="22" max="22" width="19.140625" style="152" hidden="1" customWidth="1"/>
    <col min="23" max="23" width="0" style="152" hidden="1" customWidth="1"/>
    <col min="24" max="24" width="22.140625" style="152" hidden="1" customWidth="1"/>
    <col min="25" max="25" width="24.85546875" style="152" hidden="1" customWidth="1"/>
    <col min="26" max="26" width="20.28515625" style="152" hidden="1" customWidth="1"/>
    <col min="27" max="27" width="15.140625" style="152" hidden="1" customWidth="1"/>
    <col min="28" max="28" width="9.5703125" style="152" hidden="1" customWidth="1"/>
    <col min="29" max="29" width="8.28515625" style="152" hidden="1" customWidth="1"/>
    <col min="30" max="33" width="0" style="152" hidden="1" customWidth="1"/>
    <col min="34" max="34" width="19.140625" style="152" hidden="1" customWidth="1"/>
    <col min="35" max="36" width="12.85546875" style="152" hidden="1" customWidth="1"/>
    <col min="37" max="40" width="0" style="152" hidden="1" customWidth="1"/>
    <col min="41" max="43" width="14.28515625" style="152" hidden="1" customWidth="1"/>
    <col min="44" max="44" width="13.140625" style="152" hidden="1" customWidth="1"/>
    <col min="45" max="45" width="1.7109375" style="152" hidden="1" customWidth="1"/>
    <col min="46" max="46" width="14.85546875" style="152" hidden="1" customWidth="1"/>
    <col min="47" max="47" width="1.7109375" style="152" hidden="1" customWidth="1"/>
    <col min="48" max="48" width="14" style="152" hidden="1" customWidth="1"/>
    <col min="49" max="49" width="1.7109375" style="152" hidden="1" customWidth="1"/>
    <col min="50" max="50" width="14.28515625" style="152" hidden="1" customWidth="1"/>
    <col min="51" max="51" width="11" style="152" hidden="1" customWidth="1"/>
    <col min="52" max="52" width="13.140625" style="152" hidden="1" customWidth="1"/>
    <col min="53" max="16384" width="9.140625" style="152"/>
  </cols>
  <sheetData>
    <row r="1" spans="1:25">
      <c r="A1" s="205"/>
      <c r="B1" s="206"/>
      <c r="C1" s="206"/>
      <c r="D1" s="206"/>
      <c r="E1" s="206"/>
      <c r="F1" s="206"/>
      <c r="G1" s="206"/>
      <c r="H1" s="206"/>
      <c r="I1" s="207"/>
      <c r="T1" s="65" t="str">
        <f>informatieblad!$F$12&amp;" "&amp;informatieblad!$D$17</f>
        <v>Total aantal of Deksels  (RctE)</v>
      </c>
      <c r="U1" s="62"/>
      <c r="V1" s="62"/>
      <c r="W1" s="62"/>
      <c r="X1" s="62"/>
      <c r="Y1" s="66">
        <f>C24+C28+C32+C36+C40+C44+C48+C52</f>
        <v>0</v>
      </c>
    </row>
    <row r="2" spans="1:25">
      <c r="A2" s="208"/>
      <c r="I2" s="209"/>
      <c r="T2" s="69" t="str">
        <f>informatieblad!$F$13</f>
        <v>Total purchase price</v>
      </c>
      <c r="U2" s="64"/>
      <c r="V2" s="64"/>
      <c r="W2" s="64"/>
      <c r="X2" s="64"/>
      <c r="Y2" s="70">
        <f>Y24+Y28+Y32+Y36+Y40+Y44+Y48+Y52</f>
        <v>0</v>
      </c>
    </row>
    <row r="3" spans="1:25" ht="15.75" thickBot="1">
      <c r="A3" s="208"/>
      <c r="I3" s="209"/>
      <c r="T3" s="71" t="str">
        <f>informatieblad!$F$14</f>
        <v>Total sales price</v>
      </c>
      <c r="U3" s="72"/>
      <c r="V3" s="72"/>
      <c r="W3" s="72"/>
      <c r="X3" s="72"/>
      <c r="Y3" s="73">
        <f>Z24+Z28+Z32+Z36+Z40+Z44+Z48+Z52</f>
        <v>0</v>
      </c>
    </row>
    <row r="4" spans="1:25">
      <c r="A4" s="208"/>
      <c r="H4" s="64"/>
      <c r="I4" s="433" t="str">
        <f>informatieblad!D17</f>
        <v>Deksels  (RctE)</v>
      </c>
    </row>
    <row r="5" spans="1:25">
      <c r="A5" s="208"/>
      <c r="G5" s="133"/>
      <c r="I5" s="209"/>
    </row>
    <row r="6" spans="1:25">
      <c r="A6" s="208"/>
      <c r="G6" s="75"/>
      <c r="I6" s="209"/>
    </row>
    <row r="7" spans="1:25">
      <c r="A7" s="208"/>
      <c r="G7" s="75"/>
      <c r="I7" s="209"/>
    </row>
    <row r="8" spans="1:25">
      <c r="A8" s="208"/>
      <c r="G8" s="64" t="s">
        <v>157</v>
      </c>
      <c r="I8" s="210">
        <v>30</v>
      </c>
    </row>
    <row r="9" spans="1:25">
      <c r="A9" s="208"/>
      <c r="I9" s="209"/>
    </row>
    <row r="10" spans="1:25">
      <c r="A10" s="208"/>
      <c r="I10" s="209"/>
      <c r="L10" s="64"/>
    </row>
    <row r="11" spans="1:25">
      <c r="A11" s="208"/>
      <c r="I11" s="209"/>
    </row>
    <row r="12" spans="1:25">
      <c r="A12" s="208"/>
      <c r="I12" s="209"/>
    </row>
    <row r="13" spans="1:25">
      <c r="A13" s="208"/>
      <c r="I13" s="209"/>
    </row>
    <row r="14" spans="1:25">
      <c r="A14" s="208"/>
      <c r="I14" s="209"/>
    </row>
    <row r="15" spans="1:25" ht="15.75" thickBot="1">
      <c r="A15" s="211"/>
      <c r="B15" s="212"/>
      <c r="C15" s="212"/>
      <c r="D15" s="212"/>
      <c r="E15" s="212"/>
      <c r="F15" s="212"/>
      <c r="G15" s="212"/>
      <c r="H15" s="212"/>
      <c r="I15" s="213"/>
    </row>
    <row r="16" spans="1:25" ht="5.0999999999999996" customHeight="1" thickBot="1">
      <c r="A16" s="208"/>
      <c r="I16" s="209"/>
    </row>
    <row r="17" spans="1:52" ht="15.75" thickBot="1">
      <c r="A17" s="214" t="s">
        <v>14</v>
      </c>
      <c r="B17" s="215" t="s">
        <v>15</v>
      </c>
      <c r="C17" s="215" t="s">
        <v>16</v>
      </c>
      <c r="D17" s="216" t="s">
        <v>17</v>
      </c>
      <c r="E17" s="217"/>
      <c r="F17" s="217"/>
      <c r="G17" s="217"/>
      <c r="H17" s="217"/>
      <c r="I17" s="218"/>
      <c r="J17" s="280" t="s">
        <v>18</v>
      </c>
    </row>
    <row r="18" spans="1:52" ht="15.75" thickBot="1">
      <c r="A18" s="499" t="s">
        <v>19</v>
      </c>
      <c r="B18" s="219">
        <v>600</v>
      </c>
      <c r="C18" s="219">
        <v>300</v>
      </c>
      <c r="D18" s="220">
        <v>30</v>
      </c>
      <c r="E18" s="221"/>
      <c r="F18" s="221"/>
      <c r="G18" s="221"/>
      <c r="H18" s="221"/>
      <c r="I18" s="222"/>
      <c r="J18" s="345" t="s">
        <v>20</v>
      </c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3"/>
      <c r="AE18" s="133"/>
      <c r="AF18" s="133"/>
      <c r="AG18" s="133"/>
      <c r="AH18" s="133"/>
      <c r="AI18" s="131"/>
      <c r="AJ18" s="131"/>
      <c r="AK18" s="131"/>
      <c r="AL18" s="131"/>
    </row>
    <row r="19" spans="1:52">
      <c r="A19" s="465"/>
      <c r="B19" s="496" t="s">
        <v>80</v>
      </c>
      <c r="C19" s="497"/>
      <c r="D19" s="223"/>
      <c r="E19" s="223"/>
      <c r="F19" s="224" t="s">
        <v>158</v>
      </c>
      <c r="G19" s="225"/>
      <c r="H19" s="225"/>
      <c r="I19" s="226"/>
      <c r="J19" s="83"/>
      <c r="T19" s="83"/>
      <c r="U19" s="136"/>
      <c r="V19" s="136"/>
      <c r="W19" s="136"/>
      <c r="X19" s="136"/>
      <c r="Y19" s="136"/>
      <c r="Z19" s="83"/>
      <c r="AA19" s="83"/>
      <c r="AB19" s="83"/>
      <c r="AC19" s="83"/>
      <c r="AD19" s="136"/>
      <c r="AE19" s="136"/>
      <c r="AF19" s="75"/>
      <c r="AG19" s="75"/>
      <c r="AH19" s="75"/>
      <c r="AI19" s="136"/>
      <c r="AJ19" s="136"/>
      <c r="AK19" s="83"/>
      <c r="AL19" s="83"/>
    </row>
    <row r="20" spans="1:52" ht="15.75" thickBot="1">
      <c r="A20" s="500"/>
      <c r="B20" s="227" t="s">
        <v>23</v>
      </c>
      <c r="C20" s="228">
        <v>1</v>
      </c>
      <c r="D20" s="229">
        <f>((((2*(B18+C18))*D18)+(B18*C18))/1000000)</f>
        <v>0.23400000000000001</v>
      </c>
      <c r="E20" s="230" t="s">
        <v>24</v>
      </c>
      <c r="F20" s="501" t="s">
        <v>25</v>
      </c>
      <c r="G20" s="458"/>
      <c r="H20" s="458"/>
      <c r="I20" s="459"/>
      <c r="J20" s="176"/>
      <c r="T20" s="83"/>
      <c r="U20" s="142"/>
      <c r="V20" s="142"/>
      <c r="W20" s="142"/>
      <c r="X20" s="142"/>
      <c r="Y20" s="143"/>
      <c r="Z20" s="143"/>
      <c r="AA20" s="143"/>
      <c r="AB20" s="143"/>
      <c r="AC20" s="143"/>
      <c r="AD20" s="83"/>
      <c r="AE20" s="83"/>
      <c r="AF20" s="83"/>
      <c r="AG20" s="83"/>
      <c r="AH20" s="83"/>
      <c r="AI20" s="144"/>
      <c r="AJ20" s="144"/>
      <c r="AK20" s="142"/>
      <c r="AL20" s="142"/>
    </row>
    <row r="21" spans="1:52" ht="5.0999999999999996" customHeight="1" thickBot="1">
      <c r="A21" s="231"/>
      <c r="B21" s="232"/>
      <c r="C21" s="232"/>
      <c r="D21" s="232"/>
      <c r="E21" s="232"/>
      <c r="F21" s="232"/>
      <c r="G21" s="232"/>
      <c r="H21" s="232"/>
      <c r="I21" s="233"/>
      <c r="J21" s="64"/>
    </row>
    <row r="22" spans="1:52" ht="15.75" thickBot="1">
      <c r="A22" s="494"/>
      <c r="B22" s="234"/>
      <c r="C22" s="234"/>
      <c r="D22" s="220">
        <f>(B22&gt;0)*$I$8</f>
        <v>0</v>
      </c>
      <c r="E22" s="221"/>
      <c r="F22" s="221"/>
      <c r="G22" s="221"/>
      <c r="H22" s="221"/>
      <c r="I22" s="222"/>
      <c r="J22" s="345" t="s">
        <v>20</v>
      </c>
      <c r="T22" s="97" t="s">
        <v>14</v>
      </c>
      <c r="U22" s="98" t="s">
        <v>27</v>
      </c>
      <c r="V22" s="98" t="s">
        <v>28</v>
      </c>
      <c r="W22" s="98" t="s">
        <v>27</v>
      </c>
      <c r="X22" s="98" t="s">
        <v>28</v>
      </c>
      <c r="Y22" s="98" t="s">
        <v>29</v>
      </c>
      <c r="Z22" s="66" t="s">
        <v>30</v>
      </c>
      <c r="AA22" s="153" t="s">
        <v>31</v>
      </c>
      <c r="AB22" s="153"/>
      <c r="AC22" s="153"/>
      <c r="AD22" s="154" t="s">
        <v>83</v>
      </c>
      <c r="AE22" s="100" t="s">
        <v>83</v>
      </c>
      <c r="AF22" s="100" t="s">
        <v>83</v>
      </c>
      <c r="AG22" s="100" t="s">
        <v>33</v>
      </c>
      <c r="AH22" s="100" t="s">
        <v>34</v>
      </c>
      <c r="AI22" s="98" t="s">
        <v>32</v>
      </c>
      <c r="AJ22" s="98" t="s">
        <v>32</v>
      </c>
      <c r="AK22" s="98" t="s">
        <v>35</v>
      </c>
      <c r="AL22" s="101" t="s">
        <v>36</v>
      </c>
      <c r="AO22" s="97" t="str">
        <f>informatieblad!$A$6</f>
        <v>FL20</v>
      </c>
      <c r="AP22" s="97" t="str">
        <f>informatieblad!$A$7</f>
        <v>FL30</v>
      </c>
      <c r="AQ22" s="99" t="str">
        <f>informatieblad!$A$8</f>
        <v>FL40</v>
      </c>
      <c r="AR22" s="266" t="str">
        <f>informatieblad!$A$5</f>
        <v>none</v>
      </c>
      <c r="AS22" s="64"/>
      <c r="AT22" s="266" t="s">
        <v>17</v>
      </c>
      <c r="AU22" s="64"/>
      <c r="AV22" s="266" t="s">
        <v>37</v>
      </c>
      <c r="AW22" s="64"/>
      <c r="AX22" s="269" t="s">
        <v>38</v>
      </c>
      <c r="AY22" s="272">
        <f>informatieblad!$B$3</f>
        <v>0</v>
      </c>
      <c r="AZ22" s="264">
        <f>informatieblad!$B$4</f>
        <v>0</v>
      </c>
    </row>
    <row r="23" spans="1:52">
      <c r="A23" s="475"/>
      <c r="B23" s="496" t="str">
        <f>IF($C24&gt;0,IF(MAX(B22,C22)&lt;informatieblad!$Q$4,informatieblad!$P$3,IF(MAX(B22,C22)&gt;informatieblad!$R$4,informatieblad!$P$5,informatieblad!$P$4)),"")</f>
        <v/>
      </c>
      <c r="C23" s="497"/>
      <c r="D23" s="223"/>
      <c r="E23" s="223"/>
      <c r="F23" s="224" t="str">
        <f>A22&amp;"-"&amp;informatieblad!$B$17&amp;"-"&amp;B22&amp;"-"&amp;C22&amp;"-"&amp;D22&amp;"-"&amp;B23&amp;"-"&amp;F24</f>
        <v>-RctE---0--Options None</v>
      </c>
      <c r="G23" s="235"/>
      <c r="H23" s="235"/>
      <c r="I23" s="236"/>
      <c r="J23" s="83"/>
      <c r="T23" s="103">
        <f>A22</f>
        <v>0</v>
      </c>
      <c r="U23" s="104" t="s">
        <v>39</v>
      </c>
      <c r="V23" s="104" t="s">
        <v>39</v>
      </c>
      <c r="W23" s="104" t="s">
        <v>40</v>
      </c>
      <c r="X23" s="104" t="s">
        <v>40</v>
      </c>
      <c r="Y23" s="104" t="s">
        <v>40</v>
      </c>
      <c r="Z23" s="105"/>
      <c r="AA23" s="155" t="s">
        <v>27</v>
      </c>
      <c r="AB23" s="155" t="s">
        <v>40</v>
      </c>
      <c r="AC23" s="155" t="s">
        <v>41</v>
      </c>
      <c r="AD23" s="156" t="s">
        <v>105</v>
      </c>
      <c r="AE23" s="104" t="s">
        <v>106</v>
      </c>
      <c r="AF23" s="107" t="s">
        <v>87</v>
      </c>
      <c r="AG23" s="107" t="s">
        <v>44</v>
      </c>
      <c r="AH23" s="107"/>
      <c r="AI23" s="104" t="s">
        <v>40</v>
      </c>
      <c r="AJ23" s="104" t="s">
        <v>41</v>
      </c>
      <c r="AK23" s="108"/>
      <c r="AL23" s="109"/>
      <c r="AO23" s="262" t="str">
        <f>informatieblad!$A$2</f>
        <v>FL20 loose</v>
      </c>
      <c r="AP23" s="262" t="str">
        <f>informatieblad!$A$3</f>
        <v>FL30 loose</v>
      </c>
      <c r="AQ23" s="263" t="str">
        <f>informatieblad!$A$4</f>
        <v>FL40 loose</v>
      </c>
      <c r="AR23" s="282"/>
      <c r="AS23" s="64"/>
      <c r="AT23" s="267"/>
      <c r="AU23" s="64"/>
      <c r="AV23" s="267"/>
      <c r="AW23" s="64"/>
      <c r="AX23" s="265" t="s">
        <v>47</v>
      </c>
      <c r="AY23" s="83" t="s">
        <v>23</v>
      </c>
      <c r="AZ23" s="273" t="s">
        <v>23</v>
      </c>
    </row>
    <row r="24" spans="1:52" ht="15.75" thickBot="1">
      <c r="A24" s="495"/>
      <c r="B24" s="227" t="s">
        <v>23</v>
      </c>
      <c r="C24" s="237"/>
      <c r="D24" s="229">
        <f>C24*V24</f>
        <v>0</v>
      </c>
      <c r="E24" s="230" t="s">
        <v>24</v>
      </c>
      <c r="F24" s="498" t="s">
        <v>25</v>
      </c>
      <c r="G24" s="452"/>
      <c r="H24" s="452"/>
      <c r="I24" s="453"/>
      <c r="J24" s="176"/>
      <c r="T24" s="111"/>
      <c r="U24" s="112">
        <f>(((((B22+C22))*D22)+(B22*C22))/1000000)</f>
        <v>0</v>
      </c>
      <c r="V24" s="112">
        <f>((IF(U24&lt;=informatieblad!$I$17,informatieblad!$I$17,IF(U24&gt;=informatieblad!$I$17,U24))))</f>
        <v>0.5</v>
      </c>
      <c r="W24" s="112">
        <f>(B22*C22)/1000000</f>
        <v>0</v>
      </c>
      <c r="X24" s="112">
        <f>((IF(W24&lt;=informatieblad!$H$17,informatieblad!$H$17,IF(W24&gt;=informatieblad!$H$17,W24))))</f>
        <v>0</v>
      </c>
      <c r="Y24" s="113">
        <f>((X24*AI24)+(X24*AB24))*C24</f>
        <v>0</v>
      </c>
      <c r="Z24" s="114">
        <f>((V24*AJ24)+(V24*AC24))*C24</f>
        <v>0</v>
      </c>
      <c r="AA24" s="115" t="str">
        <f>F24</f>
        <v>Options None</v>
      </c>
      <c r="AB24" s="115">
        <f>VLOOKUP(F24,informatieblad!$A$37:$D$41,2,FALSE)</f>
        <v>0</v>
      </c>
      <c r="AC24" s="115">
        <f>VLOOKUP(F24,informatieblad!$A$37:$D$41,4,FALSE)</f>
        <v>0</v>
      </c>
      <c r="AD24" s="180">
        <f>(MAX(K22,L22))</f>
        <v>0</v>
      </c>
      <c r="AE24" s="119">
        <f>(MAX(M22,N22))</f>
        <v>0</v>
      </c>
      <c r="AF24" s="119">
        <f>(MAX(K22,M22))</f>
        <v>0</v>
      </c>
      <c r="AG24" s="119">
        <f>(MAX(B22:C22))</f>
        <v>0</v>
      </c>
      <c r="AH24" s="119">
        <f>LOOKUP(AG24,informatieblad!$C$27:$C$32,informatieblad!$A$27:$A$32)</f>
        <v>0.5</v>
      </c>
      <c r="AI24" s="118">
        <f>VLOOKUP(AH24,informatieblad!$A$27:$M$32,6,FALSE)</f>
        <v>0</v>
      </c>
      <c r="AJ24" s="118">
        <f>VLOOKUP(AH24,informatieblad!$A$27:$M$32,8,FALSE)</f>
        <v>45.1248</v>
      </c>
      <c r="AK24" s="120">
        <f>VLOOKUP(AH24,informatieblad!$A$27:$M$32,13,FALSE)</f>
        <v>4</v>
      </c>
      <c r="AL24" s="121">
        <f>ROUND((AK24*W24),1)</f>
        <v>0</v>
      </c>
      <c r="AO24" s="111">
        <f>(IF(B23=AO22,((2*B22)+(2*C22)),IF(B23=AO23,((2*B22)+(2*C22)),0)))*C24</f>
        <v>0</v>
      </c>
      <c r="AP24" s="111">
        <f>(IF(B23=AP22,((2*B22)+(2*C22)),IF(B23=AP23,((2*B22)+(2*C22)),0)))*C24</f>
        <v>0</v>
      </c>
      <c r="AQ24" s="261">
        <f>(IF(B23=AQ22,((2*B22)+(2*C22)),IF(B23=AQ23,((2*B22)+(2*C22)),0)))*C24</f>
        <v>0</v>
      </c>
      <c r="AR24" s="283">
        <f>(IF(B23=AR22,((2*B22)+(2*C22)),0))*C24</f>
        <v>0</v>
      </c>
      <c r="AS24" s="64"/>
      <c r="AT24" s="268">
        <f>D22*C24</f>
        <v>0</v>
      </c>
      <c r="AU24" s="64"/>
      <c r="AV24" s="268">
        <f>(AG24+100)*C24</f>
        <v>0</v>
      </c>
      <c r="AW24" s="64"/>
      <c r="AX24" s="111" t="str">
        <f>IF(B23=informatieblad!$A$6,informatieblad!$B$6,IF(B23=informatieblad!$A$7,informatieblad!$B$7,IF(B23=informatieblad!$A$8,informatieblad!$B$8,IF(B23=informatieblad!$A$2,informatieblad!$B$2,IF(B23=informatieblad!$A$3,informatieblad!$B$3,IF(B23=informatieblad!$A$4,informatieblad!$B$4,IF(B23=informatieblad!$A$5,informatieblad!$B$5,"")))))))</f>
        <v/>
      </c>
      <c r="AY24" s="276">
        <f>IF(AX24=AY22,(4*C24),0)</f>
        <v>0</v>
      </c>
      <c r="AZ24" s="274">
        <f>IF(AX24=AZ22,(4*C24),0)</f>
        <v>0</v>
      </c>
    </row>
    <row r="25" spans="1:52" ht="5.0999999999999996" customHeight="1" thickBot="1">
      <c r="A25" s="231"/>
      <c r="B25" s="232"/>
      <c r="C25" s="232"/>
      <c r="D25" s="232"/>
      <c r="E25" s="232"/>
      <c r="F25" s="232"/>
      <c r="G25" s="232"/>
      <c r="H25" s="232"/>
      <c r="I25" s="233"/>
      <c r="J25" s="64"/>
    </row>
    <row r="26" spans="1:52" ht="15.75" thickBot="1">
      <c r="A26" s="494"/>
      <c r="B26" s="234"/>
      <c r="C26" s="234"/>
      <c r="D26" s="220">
        <f>(B26&gt;0)*$I$8</f>
        <v>0</v>
      </c>
      <c r="E26" s="221"/>
      <c r="F26" s="221"/>
      <c r="G26" s="221"/>
      <c r="H26" s="221"/>
      <c r="I26" s="222"/>
      <c r="J26" s="345" t="s">
        <v>20</v>
      </c>
      <c r="T26" s="97" t="s">
        <v>14</v>
      </c>
      <c r="U26" s="98" t="s">
        <v>27</v>
      </c>
      <c r="V26" s="98" t="s">
        <v>28</v>
      </c>
      <c r="W26" s="98" t="s">
        <v>27</v>
      </c>
      <c r="X26" s="98" t="s">
        <v>28</v>
      </c>
      <c r="Y26" s="98" t="s">
        <v>29</v>
      </c>
      <c r="Z26" s="66" t="s">
        <v>30</v>
      </c>
      <c r="AA26" s="153" t="s">
        <v>31</v>
      </c>
      <c r="AB26" s="153"/>
      <c r="AC26" s="153"/>
      <c r="AD26" s="154" t="s">
        <v>83</v>
      </c>
      <c r="AE26" s="100" t="s">
        <v>83</v>
      </c>
      <c r="AF26" s="100" t="s">
        <v>83</v>
      </c>
      <c r="AG26" s="100" t="s">
        <v>33</v>
      </c>
      <c r="AH26" s="100" t="s">
        <v>34</v>
      </c>
      <c r="AI26" s="98" t="s">
        <v>32</v>
      </c>
      <c r="AJ26" s="98" t="s">
        <v>32</v>
      </c>
      <c r="AK26" s="98" t="s">
        <v>35</v>
      </c>
      <c r="AL26" s="101" t="s">
        <v>36</v>
      </c>
      <c r="AO26" s="97" t="str">
        <f>informatieblad!$A$6</f>
        <v>FL20</v>
      </c>
      <c r="AP26" s="97" t="str">
        <f>informatieblad!$A$7</f>
        <v>FL30</v>
      </c>
      <c r="AQ26" s="99" t="str">
        <f>informatieblad!$A$8</f>
        <v>FL40</v>
      </c>
      <c r="AR26" s="266" t="str">
        <f>informatieblad!$A$5</f>
        <v>none</v>
      </c>
      <c r="AS26" s="64"/>
      <c r="AT26" s="266" t="s">
        <v>17</v>
      </c>
      <c r="AU26" s="64"/>
      <c r="AV26" s="266" t="s">
        <v>37</v>
      </c>
      <c r="AW26" s="64"/>
      <c r="AX26" s="269" t="s">
        <v>38</v>
      </c>
      <c r="AY26" s="272">
        <f>informatieblad!$B$3</f>
        <v>0</v>
      </c>
      <c r="AZ26" s="264">
        <f>informatieblad!$B$4</f>
        <v>0</v>
      </c>
    </row>
    <row r="27" spans="1:52">
      <c r="A27" s="475"/>
      <c r="B27" s="496" t="str">
        <f>IF($C28&gt;0,IF(MAX(B26,C26)&lt;informatieblad!$Q$4,informatieblad!$P$3,IF(MAX(B26,C26)&gt;informatieblad!$R$4,informatieblad!$P$5,informatieblad!$P$4)),"")</f>
        <v/>
      </c>
      <c r="C27" s="497"/>
      <c r="D27" s="223"/>
      <c r="E27" s="223"/>
      <c r="F27" s="224" t="str">
        <f>A26&amp;"-"&amp;informatieblad!$B$17&amp;"-"&amp;B26&amp;"-"&amp;C26&amp;"-"&amp;D26&amp;"-"&amp;B27&amp;"-"&amp;F28</f>
        <v>-RctE---0--Options None</v>
      </c>
      <c r="G27" s="235"/>
      <c r="H27" s="235"/>
      <c r="I27" s="236"/>
      <c r="J27" s="83"/>
      <c r="T27" s="103">
        <f>A26</f>
        <v>0</v>
      </c>
      <c r="U27" s="104" t="s">
        <v>39</v>
      </c>
      <c r="V27" s="104" t="s">
        <v>39</v>
      </c>
      <c r="W27" s="104" t="s">
        <v>40</v>
      </c>
      <c r="X27" s="104" t="s">
        <v>40</v>
      </c>
      <c r="Y27" s="104" t="s">
        <v>40</v>
      </c>
      <c r="Z27" s="105"/>
      <c r="AA27" s="155" t="s">
        <v>27</v>
      </c>
      <c r="AB27" s="155" t="s">
        <v>40</v>
      </c>
      <c r="AC27" s="155" t="s">
        <v>41</v>
      </c>
      <c r="AD27" s="156" t="s">
        <v>105</v>
      </c>
      <c r="AE27" s="104" t="s">
        <v>106</v>
      </c>
      <c r="AF27" s="107" t="s">
        <v>87</v>
      </c>
      <c r="AG27" s="107" t="s">
        <v>44</v>
      </c>
      <c r="AH27" s="107"/>
      <c r="AI27" s="104" t="s">
        <v>40</v>
      </c>
      <c r="AJ27" s="104" t="s">
        <v>41</v>
      </c>
      <c r="AK27" s="108"/>
      <c r="AL27" s="109"/>
      <c r="AO27" s="262" t="str">
        <f>informatieblad!$A$2</f>
        <v>FL20 loose</v>
      </c>
      <c r="AP27" s="262" t="str">
        <f>informatieblad!$A$3</f>
        <v>FL30 loose</v>
      </c>
      <c r="AQ27" s="263" t="str">
        <f>informatieblad!$A$4</f>
        <v>FL40 loose</v>
      </c>
      <c r="AR27" s="282"/>
      <c r="AS27" s="64"/>
      <c r="AT27" s="267"/>
      <c r="AU27" s="64"/>
      <c r="AV27" s="267"/>
      <c r="AW27" s="64"/>
      <c r="AX27" s="265" t="s">
        <v>47</v>
      </c>
      <c r="AY27" s="83" t="s">
        <v>23</v>
      </c>
      <c r="AZ27" s="273" t="s">
        <v>23</v>
      </c>
    </row>
    <row r="28" spans="1:52" ht="15.75" thickBot="1">
      <c r="A28" s="495"/>
      <c r="B28" s="227" t="s">
        <v>23</v>
      </c>
      <c r="C28" s="237"/>
      <c r="D28" s="229">
        <f>C28*V28</f>
        <v>0</v>
      </c>
      <c r="E28" s="230" t="s">
        <v>24</v>
      </c>
      <c r="F28" s="498" t="s">
        <v>25</v>
      </c>
      <c r="G28" s="452"/>
      <c r="H28" s="452"/>
      <c r="I28" s="453"/>
      <c r="J28" s="176"/>
      <c r="T28" s="111"/>
      <c r="U28" s="112">
        <f>(((((B26+C26))*D26)+(B26*C26))/1000000)</f>
        <v>0</v>
      </c>
      <c r="V28" s="112">
        <f>((IF(U28&lt;=informatieblad!$I$17,informatieblad!$I$17,IF(U28&gt;=informatieblad!$I$17,U28))))</f>
        <v>0.5</v>
      </c>
      <c r="W28" s="112">
        <f>(B26*C26)/1000000</f>
        <v>0</v>
      </c>
      <c r="X28" s="112">
        <f>((IF(W28&lt;=informatieblad!$H$17,informatieblad!$H$17,IF(W28&gt;=informatieblad!$H$17,W28))))</f>
        <v>0</v>
      </c>
      <c r="Y28" s="113">
        <f>((X28*AI28)+(X28*AB28))*C28</f>
        <v>0</v>
      </c>
      <c r="Z28" s="114">
        <f>((V28*AJ28)+(V28*AC28))*C28</f>
        <v>0</v>
      </c>
      <c r="AA28" s="115" t="str">
        <f>F28</f>
        <v>Options None</v>
      </c>
      <c r="AB28" s="115">
        <f>VLOOKUP(F28,informatieblad!$A$37:$D$41,2,FALSE)</f>
        <v>0</v>
      </c>
      <c r="AC28" s="115">
        <f>VLOOKUP(F28,informatieblad!$A$37:$D$41,4,FALSE)</f>
        <v>0</v>
      </c>
      <c r="AD28" s="180">
        <f>(MAX(K26,L26))</f>
        <v>0</v>
      </c>
      <c r="AE28" s="119">
        <f>(MAX(M26,N26))</f>
        <v>0</v>
      </c>
      <c r="AF28" s="119">
        <f>(MAX(K26,M26))</f>
        <v>0</v>
      </c>
      <c r="AG28" s="119">
        <f>(MAX(B26:C26))</f>
        <v>0</v>
      </c>
      <c r="AH28" s="119">
        <f>LOOKUP(AG28,informatieblad!$C$27:$C$32,informatieblad!$A$27:$A$32)</f>
        <v>0.5</v>
      </c>
      <c r="AI28" s="118">
        <f>VLOOKUP(AH28,informatieblad!$A$27:$M$32,6,FALSE)</f>
        <v>0</v>
      </c>
      <c r="AJ28" s="118">
        <f>VLOOKUP(AH28,informatieblad!$A$27:$M$32,8,FALSE)</f>
        <v>45.1248</v>
      </c>
      <c r="AK28" s="120">
        <f>VLOOKUP(AH28,informatieblad!$A$27:$M$32,13,FALSE)</f>
        <v>4</v>
      </c>
      <c r="AL28" s="121">
        <f>ROUND((AK28*W28),1)</f>
        <v>0</v>
      </c>
      <c r="AO28" s="111">
        <f>(IF(B27=AO26,((2*B26)+(2*C26)),IF(B27=AO27,((2*B26)+(2*C26)),0)))*C28</f>
        <v>0</v>
      </c>
      <c r="AP28" s="111">
        <f>(IF(B27=AP26,((2*B26)+(2*C26)),IF(B27=AP27,((2*B26)+(2*C26)),0)))*C28</f>
        <v>0</v>
      </c>
      <c r="AQ28" s="261">
        <f>(IF(B27=AQ26,((2*B26)+(2*C26)),IF(B27=AQ27,((2*B26)+(2*C26)),0)))*C28</f>
        <v>0</v>
      </c>
      <c r="AR28" s="283">
        <f>(IF(B27=AR26,((2*B26)+(2*C26)),0))*C28</f>
        <v>0</v>
      </c>
      <c r="AS28" s="64"/>
      <c r="AT28" s="268">
        <f>D26*C28</f>
        <v>0</v>
      </c>
      <c r="AU28" s="64"/>
      <c r="AV28" s="268">
        <f>(AG28+100)*C28</f>
        <v>0</v>
      </c>
      <c r="AW28" s="64"/>
      <c r="AX28" s="111" t="str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/>
      </c>
      <c r="AY28" s="276">
        <f>IF(AX28=AY26,(4*C28),0)</f>
        <v>0</v>
      </c>
      <c r="AZ28" s="274">
        <f>IF(AX28=AZ26,(4*C28),0)</f>
        <v>0</v>
      </c>
    </row>
    <row r="29" spans="1:52" ht="5.0999999999999996" customHeight="1" thickBot="1">
      <c r="A29" s="231"/>
      <c r="B29" s="232"/>
      <c r="C29" s="232"/>
      <c r="D29" s="232"/>
      <c r="E29" s="232"/>
      <c r="F29" s="232"/>
      <c r="G29" s="232"/>
      <c r="H29" s="232"/>
      <c r="I29" s="233"/>
      <c r="J29" s="64"/>
    </row>
    <row r="30" spans="1:52" ht="15.75" thickBot="1">
      <c r="A30" s="494"/>
      <c r="B30" s="234"/>
      <c r="C30" s="234"/>
      <c r="D30" s="220">
        <f>(B30&gt;0)*$I$8</f>
        <v>0</v>
      </c>
      <c r="E30" s="221"/>
      <c r="F30" s="221"/>
      <c r="G30" s="221"/>
      <c r="H30" s="221"/>
      <c r="I30" s="222"/>
      <c r="J30" s="345" t="s">
        <v>20</v>
      </c>
      <c r="T30" s="97" t="s">
        <v>14</v>
      </c>
      <c r="U30" s="98" t="s">
        <v>27</v>
      </c>
      <c r="V30" s="98" t="s">
        <v>28</v>
      </c>
      <c r="W30" s="98" t="s">
        <v>27</v>
      </c>
      <c r="X30" s="98" t="s">
        <v>28</v>
      </c>
      <c r="Y30" s="98" t="s">
        <v>29</v>
      </c>
      <c r="Z30" s="66" t="s">
        <v>30</v>
      </c>
      <c r="AA30" s="153" t="s">
        <v>31</v>
      </c>
      <c r="AB30" s="153"/>
      <c r="AC30" s="153"/>
      <c r="AD30" s="154" t="s">
        <v>83</v>
      </c>
      <c r="AE30" s="100" t="s">
        <v>83</v>
      </c>
      <c r="AF30" s="100" t="s">
        <v>83</v>
      </c>
      <c r="AG30" s="100" t="s">
        <v>33</v>
      </c>
      <c r="AH30" s="100" t="s">
        <v>34</v>
      </c>
      <c r="AI30" s="98" t="s">
        <v>32</v>
      </c>
      <c r="AJ30" s="98" t="s">
        <v>32</v>
      </c>
      <c r="AK30" s="98" t="s">
        <v>35</v>
      </c>
      <c r="AL30" s="101" t="s">
        <v>36</v>
      </c>
      <c r="AO30" s="97" t="str">
        <f>informatieblad!$A$6</f>
        <v>FL20</v>
      </c>
      <c r="AP30" s="97" t="str">
        <f>informatieblad!$A$7</f>
        <v>FL30</v>
      </c>
      <c r="AQ30" s="99" t="str">
        <f>informatieblad!$A$8</f>
        <v>FL40</v>
      </c>
      <c r="AR30" s="266" t="str">
        <f>informatieblad!$A$5</f>
        <v>none</v>
      </c>
      <c r="AS30" s="64"/>
      <c r="AT30" s="266" t="s">
        <v>17</v>
      </c>
      <c r="AU30" s="64"/>
      <c r="AV30" s="266" t="s">
        <v>37</v>
      </c>
      <c r="AW30" s="64"/>
      <c r="AX30" s="269" t="s">
        <v>38</v>
      </c>
      <c r="AY30" s="272">
        <f>informatieblad!$B$3</f>
        <v>0</v>
      </c>
      <c r="AZ30" s="264">
        <f>informatieblad!$B$4</f>
        <v>0</v>
      </c>
    </row>
    <row r="31" spans="1:52">
      <c r="A31" s="475"/>
      <c r="B31" s="496" t="str">
        <f>IF($C32&gt;0,IF(MAX(B30,C30)&lt;informatieblad!$Q$4,informatieblad!$P$3,IF(MAX(B30,C30)&gt;informatieblad!$R$4,informatieblad!$P$5,informatieblad!$P$4)),"")</f>
        <v/>
      </c>
      <c r="C31" s="497"/>
      <c r="D31" s="223"/>
      <c r="E31" s="223"/>
      <c r="F31" s="224" t="str">
        <f>A30&amp;"-"&amp;informatieblad!$B$17&amp;"-"&amp;B30&amp;"-"&amp;C30&amp;"-"&amp;D30&amp;"-"&amp;B31&amp;"-"&amp;F32</f>
        <v>-RctE---0--Options None</v>
      </c>
      <c r="G31" s="235"/>
      <c r="H31" s="235"/>
      <c r="I31" s="236"/>
      <c r="J31" s="83"/>
      <c r="T31" s="103">
        <f>A30</f>
        <v>0</v>
      </c>
      <c r="U31" s="104" t="s">
        <v>39</v>
      </c>
      <c r="V31" s="104" t="s">
        <v>39</v>
      </c>
      <c r="W31" s="104" t="s">
        <v>40</v>
      </c>
      <c r="X31" s="104" t="s">
        <v>40</v>
      </c>
      <c r="Y31" s="104" t="s">
        <v>40</v>
      </c>
      <c r="Z31" s="105"/>
      <c r="AA31" s="155" t="s">
        <v>27</v>
      </c>
      <c r="AB31" s="155" t="s">
        <v>40</v>
      </c>
      <c r="AC31" s="155" t="s">
        <v>41</v>
      </c>
      <c r="AD31" s="156" t="s">
        <v>105</v>
      </c>
      <c r="AE31" s="104" t="s">
        <v>106</v>
      </c>
      <c r="AF31" s="107" t="s">
        <v>87</v>
      </c>
      <c r="AG31" s="107" t="s">
        <v>44</v>
      </c>
      <c r="AH31" s="107"/>
      <c r="AI31" s="104" t="s">
        <v>40</v>
      </c>
      <c r="AJ31" s="104" t="s">
        <v>41</v>
      </c>
      <c r="AK31" s="108"/>
      <c r="AL31" s="109"/>
      <c r="AO31" s="262" t="str">
        <f>informatieblad!$A$2</f>
        <v>FL20 loose</v>
      </c>
      <c r="AP31" s="262" t="str">
        <f>informatieblad!$A$3</f>
        <v>FL30 loose</v>
      </c>
      <c r="AQ31" s="263" t="str">
        <f>informatieblad!$A$4</f>
        <v>FL40 loose</v>
      </c>
      <c r="AR31" s="282"/>
      <c r="AS31" s="64"/>
      <c r="AT31" s="267"/>
      <c r="AU31" s="64"/>
      <c r="AV31" s="267"/>
      <c r="AW31" s="64"/>
      <c r="AX31" s="265" t="s">
        <v>47</v>
      </c>
      <c r="AY31" s="83" t="s">
        <v>23</v>
      </c>
      <c r="AZ31" s="273" t="s">
        <v>23</v>
      </c>
    </row>
    <row r="32" spans="1:52" ht="15.75" thickBot="1">
      <c r="A32" s="495"/>
      <c r="B32" s="227" t="s">
        <v>23</v>
      </c>
      <c r="C32" s="237"/>
      <c r="D32" s="229">
        <f>C32*V32</f>
        <v>0</v>
      </c>
      <c r="E32" s="230" t="s">
        <v>24</v>
      </c>
      <c r="F32" s="498" t="s">
        <v>25</v>
      </c>
      <c r="G32" s="452"/>
      <c r="H32" s="452"/>
      <c r="I32" s="453"/>
      <c r="J32" s="176"/>
      <c r="T32" s="111"/>
      <c r="U32" s="112">
        <f>(((((B30+C30))*D30)+(B30*C30))/1000000)</f>
        <v>0</v>
      </c>
      <c r="V32" s="112">
        <f>((IF(U32&lt;=informatieblad!$I$17,informatieblad!$I$17,IF(U32&gt;=informatieblad!$I$17,U32))))</f>
        <v>0.5</v>
      </c>
      <c r="W32" s="112">
        <f>(B30*C30)/1000000</f>
        <v>0</v>
      </c>
      <c r="X32" s="112">
        <f>((IF(W32&lt;=informatieblad!$H$17,informatieblad!$H$17,IF(W32&gt;=informatieblad!$H$17,W32))))</f>
        <v>0</v>
      </c>
      <c r="Y32" s="113">
        <f>((X32*AI32)+(X32*AB32))*C32</f>
        <v>0</v>
      </c>
      <c r="Z32" s="114">
        <f>((V32*AJ32)+(V32*AC32))*C32</f>
        <v>0</v>
      </c>
      <c r="AA32" s="115" t="str">
        <f>F32</f>
        <v>Options None</v>
      </c>
      <c r="AB32" s="115">
        <f>VLOOKUP(F32,informatieblad!$A$37:$D$41,2,FALSE)</f>
        <v>0</v>
      </c>
      <c r="AC32" s="115">
        <f>VLOOKUP(F32,informatieblad!$A$37:$D$41,4,FALSE)</f>
        <v>0</v>
      </c>
      <c r="AD32" s="180">
        <f>(MAX(K30,L30))</f>
        <v>0</v>
      </c>
      <c r="AE32" s="119">
        <f>(MAX(M30,N30))</f>
        <v>0</v>
      </c>
      <c r="AF32" s="119">
        <f>(MAX(K30,M30))</f>
        <v>0</v>
      </c>
      <c r="AG32" s="119">
        <f>(MAX(B30:C30))</f>
        <v>0</v>
      </c>
      <c r="AH32" s="119">
        <f>LOOKUP(AG32,informatieblad!$C$27:$C$32,informatieblad!$A$27:$A$32)</f>
        <v>0.5</v>
      </c>
      <c r="AI32" s="118">
        <f>VLOOKUP(AH32,informatieblad!$A$27:$M$32,6,FALSE)</f>
        <v>0</v>
      </c>
      <c r="AJ32" s="118">
        <f>VLOOKUP(AH32,informatieblad!$A$27:$M$32,8,FALSE)</f>
        <v>45.1248</v>
      </c>
      <c r="AK32" s="120">
        <f>VLOOKUP(AH32,informatieblad!$A$27:$M$32,13,FALSE)</f>
        <v>4</v>
      </c>
      <c r="AL32" s="121">
        <f>ROUND((AK32*W32),1)</f>
        <v>0</v>
      </c>
      <c r="AO32" s="111">
        <f>(IF(B31=AO30,((2*B30)+(2*C30)),IF(B31=AO31,((2*B30)+(2*C30)),0)))*C32</f>
        <v>0</v>
      </c>
      <c r="AP32" s="111">
        <f>(IF(B31=AP30,((2*B30)+(2*C30)),IF(B31=AP31,((2*B30)+(2*C30)),0)))*C32</f>
        <v>0</v>
      </c>
      <c r="AQ32" s="261">
        <f>(IF(B31=AQ30,((2*B30)+(2*C30)),IF(B31=AQ31,((2*B30)+(2*C30)),0)))*C32</f>
        <v>0</v>
      </c>
      <c r="AR32" s="283">
        <f>(IF(B31=AR30,((2*B30)+(2*C30)),0))*C32</f>
        <v>0</v>
      </c>
      <c r="AS32" s="64"/>
      <c r="AT32" s="268">
        <f>D30*C32</f>
        <v>0</v>
      </c>
      <c r="AU32" s="64"/>
      <c r="AV32" s="268">
        <f>(AG32+100)*C32</f>
        <v>0</v>
      </c>
      <c r="AW32" s="64"/>
      <c r="AX32" s="111" t="str">
        <f>IF(B31=informatieblad!$A$6,informatieblad!$B$6,IF(B31=informatieblad!$A$7,informatieblad!$B$7,IF(B31=informatieblad!$A$8,informatieblad!$B$8,IF(B31=informatieblad!$A$2,informatieblad!$B$2,IF(B31=informatieblad!$A$3,informatieblad!$B$3,IF(B31=informatieblad!$A$4,informatieblad!$B$4,IF(B31=informatieblad!$A$5,informatieblad!$B$5,"")))))))</f>
        <v/>
      </c>
      <c r="AY32" s="276">
        <f>IF(AX32=AY30,(4*C32),0)</f>
        <v>0</v>
      </c>
      <c r="AZ32" s="274">
        <f>IF(AX32=AZ30,(4*C32),0)</f>
        <v>0</v>
      </c>
    </row>
    <row r="33" spans="1:52" ht="5.0999999999999996" customHeight="1" thickBot="1">
      <c r="A33" s="231"/>
      <c r="B33" s="232"/>
      <c r="C33" s="232"/>
      <c r="D33" s="232"/>
      <c r="E33" s="232"/>
      <c r="F33" s="232"/>
      <c r="G33" s="232"/>
      <c r="H33" s="232"/>
      <c r="I33" s="233"/>
      <c r="J33" s="64"/>
    </row>
    <row r="34" spans="1:52" ht="15.75" thickBot="1">
      <c r="A34" s="494"/>
      <c r="B34" s="234"/>
      <c r="C34" s="234"/>
      <c r="D34" s="220">
        <f>(B34&gt;0)*$I$8</f>
        <v>0</v>
      </c>
      <c r="E34" s="221"/>
      <c r="F34" s="221"/>
      <c r="G34" s="221"/>
      <c r="H34" s="221"/>
      <c r="I34" s="222"/>
      <c r="J34" s="345" t="s">
        <v>20</v>
      </c>
      <c r="T34" s="97" t="s">
        <v>14</v>
      </c>
      <c r="U34" s="98" t="s">
        <v>27</v>
      </c>
      <c r="V34" s="98" t="s">
        <v>28</v>
      </c>
      <c r="W34" s="98" t="s">
        <v>27</v>
      </c>
      <c r="X34" s="98" t="s">
        <v>28</v>
      </c>
      <c r="Y34" s="98" t="s">
        <v>29</v>
      </c>
      <c r="Z34" s="66" t="s">
        <v>30</v>
      </c>
      <c r="AA34" s="153" t="s">
        <v>31</v>
      </c>
      <c r="AB34" s="153"/>
      <c r="AC34" s="153"/>
      <c r="AD34" s="154" t="s">
        <v>83</v>
      </c>
      <c r="AE34" s="100" t="s">
        <v>83</v>
      </c>
      <c r="AF34" s="100" t="s">
        <v>83</v>
      </c>
      <c r="AG34" s="100" t="s">
        <v>33</v>
      </c>
      <c r="AH34" s="100" t="s">
        <v>34</v>
      </c>
      <c r="AI34" s="98" t="s">
        <v>32</v>
      </c>
      <c r="AJ34" s="98" t="s">
        <v>32</v>
      </c>
      <c r="AK34" s="98" t="s">
        <v>35</v>
      </c>
      <c r="AL34" s="101" t="s">
        <v>36</v>
      </c>
      <c r="AO34" s="97" t="str">
        <f>informatieblad!$A$6</f>
        <v>FL20</v>
      </c>
      <c r="AP34" s="97" t="str">
        <f>informatieblad!$A$7</f>
        <v>FL30</v>
      </c>
      <c r="AQ34" s="99" t="str">
        <f>informatieblad!$A$8</f>
        <v>FL40</v>
      </c>
      <c r="AR34" s="266" t="str">
        <f>informatieblad!$A$5</f>
        <v>none</v>
      </c>
      <c r="AS34" s="64"/>
      <c r="AT34" s="266" t="s">
        <v>17</v>
      </c>
      <c r="AU34" s="64"/>
      <c r="AV34" s="266" t="s">
        <v>37</v>
      </c>
      <c r="AW34" s="64"/>
      <c r="AX34" s="269" t="s">
        <v>38</v>
      </c>
      <c r="AY34" s="272">
        <f>informatieblad!$B$3</f>
        <v>0</v>
      </c>
      <c r="AZ34" s="264">
        <f>informatieblad!$B$4</f>
        <v>0</v>
      </c>
    </row>
    <row r="35" spans="1:52">
      <c r="A35" s="475"/>
      <c r="B35" s="496" t="str">
        <f>IF($C36&gt;0,IF(MAX(B34,C34)&lt;informatieblad!$Q$4,informatieblad!$P$3,IF(MAX(B34,C34)&gt;informatieblad!$R$4,informatieblad!$P$5,informatieblad!$P$4)),"")</f>
        <v/>
      </c>
      <c r="C35" s="497"/>
      <c r="D35" s="223"/>
      <c r="E35" s="223"/>
      <c r="F35" s="224" t="str">
        <f>A34&amp;"-"&amp;informatieblad!$B$17&amp;"-"&amp;B34&amp;"-"&amp;C34&amp;"-"&amp;D34&amp;"-"&amp;B35&amp;"-"&amp;F36</f>
        <v>-RctE---0--Options None</v>
      </c>
      <c r="G35" s="235"/>
      <c r="H35" s="235"/>
      <c r="I35" s="236"/>
      <c r="J35" s="83"/>
      <c r="T35" s="103">
        <f>A34</f>
        <v>0</v>
      </c>
      <c r="U35" s="104" t="s">
        <v>39</v>
      </c>
      <c r="V35" s="104" t="s">
        <v>39</v>
      </c>
      <c r="W35" s="104" t="s">
        <v>40</v>
      </c>
      <c r="X35" s="104" t="s">
        <v>40</v>
      </c>
      <c r="Y35" s="104" t="s">
        <v>40</v>
      </c>
      <c r="Z35" s="105"/>
      <c r="AA35" s="155" t="s">
        <v>27</v>
      </c>
      <c r="AB35" s="155" t="s">
        <v>40</v>
      </c>
      <c r="AC35" s="155" t="s">
        <v>41</v>
      </c>
      <c r="AD35" s="156" t="s">
        <v>105</v>
      </c>
      <c r="AE35" s="104" t="s">
        <v>106</v>
      </c>
      <c r="AF35" s="107" t="s">
        <v>87</v>
      </c>
      <c r="AG35" s="107" t="s">
        <v>44</v>
      </c>
      <c r="AH35" s="107"/>
      <c r="AI35" s="104" t="s">
        <v>40</v>
      </c>
      <c r="AJ35" s="104" t="s">
        <v>41</v>
      </c>
      <c r="AK35" s="108"/>
      <c r="AL35" s="109"/>
      <c r="AO35" s="262" t="str">
        <f>informatieblad!$A$2</f>
        <v>FL20 loose</v>
      </c>
      <c r="AP35" s="262" t="str">
        <f>informatieblad!$A$3</f>
        <v>FL30 loose</v>
      </c>
      <c r="AQ35" s="263" t="str">
        <f>informatieblad!$A$4</f>
        <v>FL40 loose</v>
      </c>
      <c r="AR35" s="282"/>
      <c r="AS35" s="64"/>
      <c r="AT35" s="267"/>
      <c r="AU35" s="64"/>
      <c r="AV35" s="267"/>
      <c r="AW35" s="64"/>
      <c r="AX35" s="265" t="s">
        <v>47</v>
      </c>
      <c r="AY35" s="83" t="s">
        <v>23</v>
      </c>
      <c r="AZ35" s="273" t="s">
        <v>23</v>
      </c>
    </row>
    <row r="36" spans="1:52" ht="15.75" thickBot="1">
      <c r="A36" s="495"/>
      <c r="B36" s="227" t="s">
        <v>23</v>
      </c>
      <c r="C36" s="237"/>
      <c r="D36" s="229">
        <f>C36*V36</f>
        <v>0</v>
      </c>
      <c r="E36" s="230" t="s">
        <v>24</v>
      </c>
      <c r="F36" s="498" t="s">
        <v>25</v>
      </c>
      <c r="G36" s="452"/>
      <c r="H36" s="452"/>
      <c r="I36" s="453"/>
      <c r="J36" s="176"/>
      <c r="T36" s="111"/>
      <c r="U36" s="112">
        <f>(((((B34+C34))*D34)+(B34*C34))/1000000)</f>
        <v>0</v>
      </c>
      <c r="V36" s="112">
        <f>((IF(U36&lt;=informatieblad!$I$17,informatieblad!$I$17,IF(U36&gt;=informatieblad!$I$17,U36))))</f>
        <v>0.5</v>
      </c>
      <c r="W36" s="112">
        <f>(B34*C34)/1000000</f>
        <v>0</v>
      </c>
      <c r="X36" s="112">
        <f>((IF(W36&lt;=informatieblad!$H$17,informatieblad!$H$17,IF(W36&gt;=informatieblad!$H$17,W36))))</f>
        <v>0</v>
      </c>
      <c r="Y36" s="113">
        <f>((X36*AI36)+(X36*AB36))*C36</f>
        <v>0</v>
      </c>
      <c r="Z36" s="114">
        <f>((V36*AJ36)+(V36*AC36))*C36</f>
        <v>0</v>
      </c>
      <c r="AA36" s="115" t="str">
        <f>F36</f>
        <v>Options None</v>
      </c>
      <c r="AB36" s="115">
        <f>VLOOKUP(F36,informatieblad!$A$37:$D$41,2,FALSE)</f>
        <v>0</v>
      </c>
      <c r="AC36" s="115">
        <f>VLOOKUP(F36,informatieblad!$A$37:$D$41,4,FALSE)</f>
        <v>0</v>
      </c>
      <c r="AD36" s="180">
        <f>(MAX(K34,L34))</f>
        <v>0</v>
      </c>
      <c r="AE36" s="119">
        <f>(MAX(M34,N34))</f>
        <v>0</v>
      </c>
      <c r="AF36" s="119">
        <f>(MAX(K34,M34))</f>
        <v>0</v>
      </c>
      <c r="AG36" s="119">
        <f>(MAX(B34:C34))</f>
        <v>0</v>
      </c>
      <c r="AH36" s="119">
        <f>LOOKUP(AG36,informatieblad!$C$27:$C$32,informatieblad!$A$27:$A$32)</f>
        <v>0.5</v>
      </c>
      <c r="AI36" s="118">
        <f>VLOOKUP(AH36,informatieblad!$A$27:$M$32,6,FALSE)</f>
        <v>0</v>
      </c>
      <c r="AJ36" s="118">
        <f>VLOOKUP(AH36,informatieblad!$A$27:$M$32,8,FALSE)</f>
        <v>45.1248</v>
      </c>
      <c r="AK36" s="120">
        <f>VLOOKUP(AH36,informatieblad!$A$27:$M$32,13,FALSE)</f>
        <v>4</v>
      </c>
      <c r="AL36" s="121">
        <f>ROUND((AK36*W36),1)</f>
        <v>0</v>
      </c>
      <c r="AO36" s="111">
        <f>(IF(B35=AO34,((2*B34)+(2*C34)),IF(B35=AO35,((2*B34)+(2*C34)),0)))*C36</f>
        <v>0</v>
      </c>
      <c r="AP36" s="111">
        <f>(IF(B35=AP34,((2*B34)+(2*C34)),IF(B35=AP35,((2*B34)+(2*C34)),0)))*C36</f>
        <v>0</v>
      </c>
      <c r="AQ36" s="261">
        <f>(IF(B35=AQ34,((2*B34)+(2*C34)),IF(B35=AQ35,((2*B34)+(2*C34)),0)))*C36</f>
        <v>0</v>
      </c>
      <c r="AR36" s="283">
        <f>(IF(B35=AR34,((2*B34)+(2*C34)),0))*C36</f>
        <v>0</v>
      </c>
      <c r="AS36" s="64"/>
      <c r="AT36" s="268">
        <f>D34*C36</f>
        <v>0</v>
      </c>
      <c r="AU36" s="64"/>
      <c r="AV36" s="268">
        <f>(AG36+100)*C36</f>
        <v>0</v>
      </c>
      <c r="AW36" s="64"/>
      <c r="AX36" s="111" t="str">
        <f>IF(B35=informatieblad!$A$6,informatieblad!$B$6,IF(B35=informatieblad!$A$7,informatieblad!$B$7,IF(B35=informatieblad!$A$8,informatieblad!$B$8,IF(B35=informatieblad!$A$2,informatieblad!$B$2,IF(B35=informatieblad!$A$3,informatieblad!$B$3,IF(B35=informatieblad!$A$4,informatieblad!$B$4,IF(B35=informatieblad!$A$5,informatieblad!$B$5,"")))))))</f>
        <v/>
      </c>
      <c r="AY36" s="276">
        <f>IF(AX36=AY34,(4*C36),0)</f>
        <v>0</v>
      </c>
      <c r="AZ36" s="274">
        <f>IF(AX36=AZ34,(4*C36),0)</f>
        <v>0</v>
      </c>
    </row>
    <row r="37" spans="1:52" ht="5.0999999999999996" customHeight="1" thickBot="1">
      <c r="A37" s="231"/>
      <c r="B37" s="232"/>
      <c r="C37" s="232"/>
      <c r="D37" s="232"/>
      <c r="E37" s="232"/>
      <c r="F37" s="232"/>
      <c r="G37" s="232"/>
      <c r="H37" s="232"/>
      <c r="I37" s="233"/>
      <c r="J37" s="64"/>
    </row>
    <row r="38" spans="1:52" ht="15.75" thickBot="1">
      <c r="A38" s="494"/>
      <c r="B38" s="234"/>
      <c r="C38" s="234"/>
      <c r="D38" s="220">
        <f>(B38&gt;0)*$I$8</f>
        <v>0</v>
      </c>
      <c r="E38" s="221"/>
      <c r="F38" s="221"/>
      <c r="G38" s="221"/>
      <c r="H38" s="221"/>
      <c r="I38" s="222"/>
      <c r="J38" s="345" t="s">
        <v>20</v>
      </c>
      <c r="T38" s="97" t="s">
        <v>14</v>
      </c>
      <c r="U38" s="98" t="s">
        <v>27</v>
      </c>
      <c r="V38" s="98" t="s">
        <v>28</v>
      </c>
      <c r="W38" s="98" t="s">
        <v>27</v>
      </c>
      <c r="X38" s="98" t="s">
        <v>28</v>
      </c>
      <c r="Y38" s="98" t="s">
        <v>29</v>
      </c>
      <c r="Z38" s="66" t="s">
        <v>30</v>
      </c>
      <c r="AA38" s="153" t="s">
        <v>31</v>
      </c>
      <c r="AB38" s="153"/>
      <c r="AC38" s="153"/>
      <c r="AD38" s="154" t="s">
        <v>83</v>
      </c>
      <c r="AE38" s="100" t="s">
        <v>83</v>
      </c>
      <c r="AF38" s="100" t="s">
        <v>83</v>
      </c>
      <c r="AG38" s="100" t="s">
        <v>33</v>
      </c>
      <c r="AH38" s="100" t="s">
        <v>34</v>
      </c>
      <c r="AI38" s="98" t="s">
        <v>32</v>
      </c>
      <c r="AJ38" s="98" t="s">
        <v>32</v>
      </c>
      <c r="AK38" s="98" t="s">
        <v>35</v>
      </c>
      <c r="AL38" s="101" t="s">
        <v>36</v>
      </c>
      <c r="AO38" s="97" t="str">
        <f>informatieblad!$A$6</f>
        <v>FL20</v>
      </c>
      <c r="AP38" s="97" t="str">
        <f>informatieblad!$A$7</f>
        <v>FL30</v>
      </c>
      <c r="AQ38" s="99" t="str">
        <f>informatieblad!$A$8</f>
        <v>FL40</v>
      </c>
      <c r="AR38" s="266" t="str">
        <f>informatieblad!$A$5</f>
        <v>none</v>
      </c>
      <c r="AS38" s="64"/>
      <c r="AT38" s="266" t="s">
        <v>17</v>
      </c>
      <c r="AU38" s="64"/>
      <c r="AV38" s="266" t="s">
        <v>37</v>
      </c>
      <c r="AW38" s="64"/>
      <c r="AX38" s="269" t="s">
        <v>38</v>
      </c>
      <c r="AY38" s="272">
        <f>informatieblad!$B$3</f>
        <v>0</v>
      </c>
      <c r="AZ38" s="264">
        <f>informatieblad!$B$4</f>
        <v>0</v>
      </c>
    </row>
    <row r="39" spans="1:52">
      <c r="A39" s="475"/>
      <c r="B39" s="496" t="str">
        <f>IF($C40&gt;0,IF(MAX(B38,C38)&lt;informatieblad!$Q$4,informatieblad!$P$3,IF(MAX(B38,C38)&gt;informatieblad!$R$4,informatieblad!$P$5,informatieblad!$P$4)),"")</f>
        <v/>
      </c>
      <c r="C39" s="497"/>
      <c r="D39" s="223"/>
      <c r="E39" s="223"/>
      <c r="F39" s="224" t="str">
        <f>A38&amp;"-"&amp;informatieblad!$B$17&amp;"-"&amp;B38&amp;"-"&amp;C38&amp;"-"&amp;D38&amp;"-"&amp;B39&amp;"-"&amp;F40</f>
        <v>-RctE---0--Options None</v>
      </c>
      <c r="G39" s="235"/>
      <c r="H39" s="235"/>
      <c r="I39" s="236"/>
      <c r="J39" s="83"/>
      <c r="T39" s="103">
        <f>A38</f>
        <v>0</v>
      </c>
      <c r="U39" s="104" t="s">
        <v>39</v>
      </c>
      <c r="V39" s="104" t="s">
        <v>39</v>
      </c>
      <c r="W39" s="104" t="s">
        <v>40</v>
      </c>
      <c r="X39" s="104" t="s">
        <v>40</v>
      </c>
      <c r="Y39" s="104" t="s">
        <v>40</v>
      </c>
      <c r="Z39" s="105"/>
      <c r="AA39" s="155" t="s">
        <v>27</v>
      </c>
      <c r="AB39" s="155" t="s">
        <v>40</v>
      </c>
      <c r="AC39" s="155" t="s">
        <v>41</v>
      </c>
      <c r="AD39" s="156" t="s">
        <v>105</v>
      </c>
      <c r="AE39" s="104" t="s">
        <v>106</v>
      </c>
      <c r="AF39" s="107" t="s">
        <v>87</v>
      </c>
      <c r="AG39" s="107" t="s">
        <v>44</v>
      </c>
      <c r="AH39" s="107"/>
      <c r="AI39" s="104" t="s">
        <v>40</v>
      </c>
      <c r="AJ39" s="104" t="s">
        <v>41</v>
      </c>
      <c r="AK39" s="108"/>
      <c r="AL39" s="109"/>
      <c r="AO39" s="262" t="str">
        <f>informatieblad!$A$2</f>
        <v>FL20 loose</v>
      </c>
      <c r="AP39" s="262" t="str">
        <f>informatieblad!$A$3</f>
        <v>FL30 loose</v>
      </c>
      <c r="AQ39" s="263" t="str">
        <f>informatieblad!$A$4</f>
        <v>FL40 loose</v>
      </c>
      <c r="AR39" s="282"/>
      <c r="AS39" s="64"/>
      <c r="AT39" s="267"/>
      <c r="AU39" s="64"/>
      <c r="AV39" s="267"/>
      <c r="AW39" s="64"/>
      <c r="AX39" s="265" t="s">
        <v>47</v>
      </c>
      <c r="AY39" s="83" t="s">
        <v>23</v>
      </c>
      <c r="AZ39" s="273" t="s">
        <v>23</v>
      </c>
    </row>
    <row r="40" spans="1:52" ht="15.75" thickBot="1">
      <c r="A40" s="495"/>
      <c r="B40" s="227" t="s">
        <v>23</v>
      </c>
      <c r="C40" s="237"/>
      <c r="D40" s="229">
        <f>C40*V40</f>
        <v>0</v>
      </c>
      <c r="E40" s="230" t="s">
        <v>24</v>
      </c>
      <c r="F40" s="498" t="s">
        <v>25</v>
      </c>
      <c r="G40" s="452"/>
      <c r="H40" s="452"/>
      <c r="I40" s="453"/>
      <c r="J40" s="176"/>
      <c r="T40" s="111"/>
      <c r="U40" s="112">
        <f>(((((B38+C38))*D38)+(B38*C38))/1000000)</f>
        <v>0</v>
      </c>
      <c r="V40" s="112">
        <f>((IF(U40&lt;=informatieblad!$I$17,informatieblad!$I$17,IF(U40&gt;=informatieblad!$I$17,U40))))</f>
        <v>0.5</v>
      </c>
      <c r="W40" s="112">
        <f>(B38*C38)/1000000</f>
        <v>0</v>
      </c>
      <c r="X40" s="112">
        <f>((IF(W40&lt;=informatieblad!$H$17,informatieblad!$H$17,IF(W40&gt;=informatieblad!$H$17,W40))))</f>
        <v>0</v>
      </c>
      <c r="Y40" s="113">
        <f>((X40*AI40)+(X40*AB40))*C40</f>
        <v>0</v>
      </c>
      <c r="Z40" s="114">
        <f>((V40*AJ40)+(V40*AC40))*C40</f>
        <v>0</v>
      </c>
      <c r="AA40" s="115" t="str">
        <f>F40</f>
        <v>Options None</v>
      </c>
      <c r="AB40" s="115">
        <f>VLOOKUP(F40,informatieblad!$A$37:$D$41,2,FALSE)</f>
        <v>0</v>
      </c>
      <c r="AC40" s="115">
        <f>VLOOKUP(F40,informatieblad!$A$37:$D$41,4,FALSE)</f>
        <v>0</v>
      </c>
      <c r="AD40" s="180">
        <f>(MAX(K38,L38))</f>
        <v>0</v>
      </c>
      <c r="AE40" s="119">
        <f>(MAX(M38,N38))</f>
        <v>0</v>
      </c>
      <c r="AF40" s="119">
        <f>(MAX(K38,M38))</f>
        <v>0</v>
      </c>
      <c r="AG40" s="119">
        <f>(MAX(B38:C38))</f>
        <v>0</v>
      </c>
      <c r="AH40" s="119">
        <f>LOOKUP(AG40,informatieblad!$C$27:$C$32,informatieblad!$A$27:$A$32)</f>
        <v>0.5</v>
      </c>
      <c r="AI40" s="118">
        <f>VLOOKUP(AH40,informatieblad!$A$27:$M$32,6,FALSE)</f>
        <v>0</v>
      </c>
      <c r="AJ40" s="118">
        <f>VLOOKUP(AH40,informatieblad!$A$27:$M$32,8,FALSE)</f>
        <v>45.1248</v>
      </c>
      <c r="AK40" s="120">
        <f>VLOOKUP(AH40,informatieblad!$A$27:$M$32,13,FALSE)</f>
        <v>4</v>
      </c>
      <c r="AL40" s="121">
        <f>ROUND((AK40*W40),1)</f>
        <v>0</v>
      </c>
      <c r="AO40" s="111">
        <f>(IF(B39=AO38,((2*B38)+(2*C38)),IF(B39=AO39,((2*B38)+(2*C38)),0)))*C40</f>
        <v>0</v>
      </c>
      <c r="AP40" s="111">
        <f>(IF(B39=AP38,((2*B38)+(2*C38)),IF(B39=AP39,((2*B38)+(2*C38)),0)))*C40</f>
        <v>0</v>
      </c>
      <c r="AQ40" s="261">
        <f>(IF(B39=AQ38,((2*B38)+(2*C38)),IF(B39=AQ39,((2*B38)+(2*C38)),0)))*C40</f>
        <v>0</v>
      </c>
      <c r="AR40" s="283">
        <f>(IF(B39=AR38,((2*B38)+(2*C38)),0))*C40</f>
        <v>0</v>
      </c>
      <c r="AS40" s="64"/>
      <c r="AT40" s="268">
        <f>D38*C40</f>
        <v>0</v>
      </c>
      <c r="AU40" s="64"/>
      <c r="AV40" s="268">
        <f>(AG40+100)*C40</f>
        <v>0</v>
      </c>
      <c r="AW40" s="64"/>
      <c r="AX40" s="111" t="str">
        <f>IF(B39=informatieblad!$A$6,informatieblad!$B$6,IF(B39=informatieblad!$A$7,informatieblad!$B$7,IF(B39=informatieblad!$A$8,informatieblad!$B$8,IF(B39=informatieblad!$A$2,informatieblad!$B$2,IF(B39=informatieblad!$A$3,informatieblad!$B$3,IF(B39=informatieblad!$A$4,informatieblad!$B$4,IF(B39=informatieblad!$A$5,informatieblad!$B$5,"")))))))</f>
        <v/>
      </c>
      <c r="AY40" s="276">
        <f>IF(AX40=AY38,(4*C40),0)</f>
        <v>0</v>
      </c>
      <c r="AZ40" s="274">
        <f>IF(AX40=AZ38,(4*C40),0)</f>
        <v>0</v>
      </c>
    </row>
    <row r="41" spans="1:52" ht="5.0999999999999996" customHeight="1" thickBot="1">
      <c r="A41" s="231"/>
      <c r="B41" s="232"/>
      <c r="C41" s="232"/>
      <c r="D41" s="232"/>
      <c r="E41" s="232"/>
      <c r="F41" s="232"/>
      <c r="G41" s="232"/>
      <c r="H41" s="232"/>
      <c r="I41" s="233"/>
      <c r="J41" s="64"/>
    </row>
    <row r="42" spans="1:52" ht="15.75" thickBot="1">
      <c r="A42" s="494"/>
      <c r="B42" s="234"/>
      <c r="C42" s="234"/>
      <c r="D42" s="220">
        <f>(B42&gt;0)*$I$8</f>
        <v>0</v>
      </c>
      <c r="E42" s="221"/>
      <c r="F42" s="221"/>
      <c r="G42" s="221"/>
      <c r="H42" s="221"/>
      <c r="I42" s="222"/>
      <c r="J42" s="345" t="s">
        <v>20</v>
      </c>
      <c r="T42" s="97" t="s">
        <v>14</v>
      </c>
      <c r="U42" s="98" t="s">
        <v>27</v>
      </c>
      <c r="V42" s="98" t="s">
        <v>28</v>
      </c>
      <c r="W42" s="98" t="s">
        <v>27</v>
      </c>
      <c r="X42" s="98" t="s">
        <v>28</v>
      </c>
      <c r="Y42" s="98" t="s">
        <v>29</v>
      </c>
      <c r="Z42" s="66" t="s">
        <v>30</v>
      </c>
      <c r="AA42" s="153" t="s">
        <v>31</v>
      </c>
      <c r="AB42" s="153"/>
      <c r="AC42" s="153"/>
      <c r="AD42" s="154" t="s">
        <v>83</v>
      </c>
      <c r="AE42" s="100" t="s">
        <v>83</v>
      </c>
      <c r="AF42" s="100" t="s">
        <v>83</v>
      </c>
      <c r="AG42" s="100" t="s">
        <v>33</v>
      </c>
      <c r="AH42" s="100" t="s">
        <v>34</v>
      </c>
      <c r="AI42" s="98" t="s">
        <v>32</v>
      </c>
      <c r="AJ42" s="98" t="s">
        <v>32</v>
      </c>
      <c r="AK42" s="98" t="s">
        <v>35</v>
      </c>
      <c r="AL42" s="101" t="s">
        <v>36</v>
      </c>
      <c r="AO42" s="97" t="str">
        <f>informatieblad!$A$6</f>
        <v>FL20</v>
      </c>
      <c r="AP42" s="97" t="str">
        <f>informatieblad!$A$7</f>
        <v>FL30</v>
      </c>
      <c r="AQ42" s="99" t="str">
        <f>informatieblad!$A$8</f>
        <v>FL40</v>
      </c>
      <c r="AR42" s="266" t="str">
        <f>informatieblad!$A$5</f>
        <v>none</v>
      </c>
      <c r="AS42" s="64"/>
      <c r="AT42" s="266" t="s">
        <v>17</v>
      </c>
      <c r="AU42" s="64"/>
      <c r="AV42" s="266" t="s">
        <v>37</v>
      </c>
      <c r="AW42" s="64"/>
      <c r="AX42" s="269" t="s">
        <v>38</v>
      </c>
      <c r="AY42" s="272">
        <f>informatieblad!$B$3</f>
        <v>0</v>
      </c>
      <c r="AZ42" s="264">
        <f>informatieblad!$B$4</f>
        <v>0</v>
      </c>
    </row>
    <row r="43" spans="1:52">
      <c r="A43" s="475"/>
      <c r="B43" s="496" t="str">
        <f>IF($C44&gt;0,IF(MAX(B42,C42)&lt;informatieblad!$Q$4,informatieblad!$P$3,IF(MAX(B42,C42)&gt;informatieblad!$R$4,informatieblad!$P$5,informatieblad!$P$4)),"")</f>
        <v/>
      </c>
      <c r="C43" s="497"/>
      <c r="D43" s="223"/>
      <c r="E43" s="223"/>
      <c r="F43" s="224" t="str">
        <f>A42&amp;"-"&amp;informatieblad!$B$17&amp;"-"&amp;B42&amp;"-"&amp;C42&amp;"-"&amp;D42&amp;"-"&amp;B43&amp;"-"&amp;F44</f>
        <v>-RctE---0--Options None</v>
      </c>
      <c r="G43" s="235"/>
      <c r="H43" s="235"/>
      <c r="I43" s="236"/>
      <c r="J43" s="83"/>
      <c r="T43" s="103">
        <f>A42</f>
        <v>0</v>
      </c>
      <c r="U43" s="104" t="s">
        <v>39</v>
      </c>
      <c r="V43" s="104" t="s">
        <v>39</v>
      </c>
      <c r="W43" s="104" t="s">
        <v>40</v>
      </c>
      <c r="X43" s="104" t="s">
        <v>40</v>
      </c>
      <c r="Y43" s="104" t="s">
        <v>40</v>
      </c>
      <c r="Z43" s="105"/>
      <c r="AA43" s="155" t="s">
        <v>27</v>
      </c>
      <c r="AB43" s="155" t="s">
        <v>40</v>
      </c>
      <c r="AC43" s="155" t="s">
        <v>41</v>
      </c>
      <c r="AD43" s="156" t="s">
        <v>105</v>
      </c>
      <c r="AE43" s="104" t="s">
        <v>106</v>
      </c>
      <c r="AF43" s="107" t="s">
        <v>87</v>
      </c>
      <c r="AG43" s="107" t="s">
        <v>44</v>
      </c>
      <c r="AH43" s="107"/>
      <c r="AI43" s="104" t="s">
        <v>40</v>
      </c>
      <c r="AJ43" s="104" t="s">
        <v>41</v>
      </c>
      <c r="AK43" s="108"/>
      <c r="AL43" s="109"/>
      <c r="AO43" s="262" t="str">
        <f>informatieblad!$A$2</f>
        <v>FL20 loose</v>
      </c>
      <c r="AP43" s="262" t="str">
        <f>informatieblad!$A$3</f>
        <v>FL30 loose</v>
      </c>
      <c r="AQ43" s="263" t="str">
        <f>informatieblad!$A$4</f>
        <v>FL40 loose</v>
      </c>
      <c r="AR43" s="282"/>
      <c r="AS43" s="64"/>
      <c r="AT43" s="267"/>
      <c r="AU43" s="64"/>
      <c r="AV43" s="267"/>
      <c r="AW43" s="64"/>
      <c r="AX43" s="265" t="s">
        <v>47</v>
      </c>
      <c r="AY43" s="83" t="s">
        <v>23</v>
      </c>
      <c r="AZ43" s="273" t="s">
        <v>23</v>
      </c>
    </row>
    <row r="44" spans="1:52" ht="15.75" thickBot="1">
      <c r="A44" s="495"/>
      <c r="B44" s="227" t="s">
        <v>23</v>
      </c>
      <c r="C44" s="237"/>
      <c r="D44" s="229">
        <f>C44*V44</f>
        <v>0</v>
      </c>
      <c r="E44" s="230" t="s">
        <v>24</v>
      </c>
      <c r="F44" s="498" t="s">
        <v>25</v>
      </c>
      <c r="G44" s="452"/>
      <c r="H44" s="452"/>
      <c r="I44" s="453"/>
      <c r="J44" s="176"/>
      <c r="T44" s="111"/>
      <c r="U44" s="112">
        <f>(((((B42+C42))*D42)+(B42*C42))/1000000)</f>
        <v>0</v>
      </c>
      <c r="V44" s="112">
        <f>((IF(U44&lt;=informatieblad!$I$17,informatieblad!$I$17,IF(U44&gt;=informatieblad!$I$17,U44))))</f>
        <v>0.5</v>
      </c>
      <c r="W44" s="112">
        <f>(B42*C42)/1000000</f>
        <v>0</v>
      </c>
      <c r="X44" s="112">
        <f>((IF(W44&lt;=informatieblad!$H$17,informatieblad!$H$17,IF(W44&gt;=informatieblad!$H$17,W44))))</f>
        <v>0</v>
      </c>
      <c r="Y44" s="113">
        <f>((X44*AI44)+(X44*AB44))*C44</f>
        <v>0</v>
      </c>
      <c r="Z44" s="114">
        <f>((V44*AJ44)+(V44*AC44))*C44</f>
        <v>0</v>
      </c>
      <c r="AA44" s="115" t="str">
        <f>F44</f>
        <v>Options None</v>
      </c>
      <c r="AB44" s="115">
        <f>VLOOKUP(F44,informatieblad!$A$37:$D$41,2,FALSE)</f>
        <v>0</v>
      </c>
      <c r="AC44" s="115">
        <f>VLOOKUP(F44,informatieblad!$A$37:$D$41,4,FALSE)</f>
        <v>0</v>
      </c>
      <c r="AD44" s="180">
        <f>(MAX(K42,L42))</f>
        <v>0</v>
      </c>
      <c r="AE44" s="119">
        <f>(MAX(M42,N42))</f>
        <v>0</v>
      </c>
      <c r="AF44" s="119">
        <f>(MAX(K42,M42))</f>
        <v>0</v>
      </c>
      <c r="AG44" s="119">
        <f>(MAX(B42:C42))</f>
        <v>0</v>
      </c>
      <c r="AH44" s="119">
        <f>LOOKUP(AG44,informatieblad!$C$27:$C$32,informatieblad!$A$27:$A$32)</f>
        <v>0.5</v>
      </c>
      <c r="AI44" s="118">
        <f>VLOOKUP(AH44,informatieblad!$A$27:$M$32,6,FALSE)</f>
        <v>0</v>
      </c>
      <c r="AJ44" s="118">
        <f>VLOOKUP(AH44,informatieblad!$A$27:$M$32,8,FALSE)</f>
        <v>45.1248</v>
      </c>
      <c r="AK44" s="120">
        <f>VLOOKUP(AH44,informatieblad!$A$27:$M$32,13,FALSE)</f>
        <v>4</v>
      </c>
      <c r="AL44" s="121">
        <f>ROUND((AK44*W44),1)</f>
        <v>0</v>
      </c>
      <c r="AO44" s="111">
        <f>(IF(B43=AO42,((2*B42)+(2*C42)),IF(B43=AO43,((2*B42)+(2*C42)),0)))*C44</f>
        <v>0</v>
      </c>
      <c r="AP44" s="111">
        <f>(IF(B43=AP42,((2*B42)+(2*C42)),IF(B43=AP43,((2*B42)+(2*C42)),0)))*C44</f>
        <v>0</v>
      </c>
      <c r="AQ44" s="261">
        <f>(IF(B43=AQ42,((2*B42)+(2*C42)),IF(B43=AQ43,((2*B42)+(2*C42)),0)))*C44</f>
        <v>0</v>
      </c>
      <c r="AR44" s="283">
        <f>(IF(B43=AR42,((2*B42)+(2*C42)),0))*C44</f>
        <v>0</v>
      </c>
      <c r="AS44" s="64"/>
      <c r="AT44" s="268">
        <f>D42*C44</f>
        <v>0</v>
      </c>
      <c r="AU44" s="64"/>
      <c r="AV44" s="268">
        <f>(AG44+100)*C44</f>
        <v>0</v>
      </c>
      <c r="AW44" s="64"/>
      <c r="AX44" s="111" t="str">
        <f>IF(B43=informatieblad!$A$6,informatieblad!$B$6,IF(B43=informatieblad!$A$7,informatieblad!$B$7,IF(B43=informatieblad!$A$8,informatieblad!$B$8,IF(B43=informatieblad!$A$2,informatieblad!$B$2,IF(B43=informatieblad!$A$3,informatieblad!$B$3,IF(B43=informatieblad!$A$4,informatieblad!$B$4,IF(B43=informatieblad!$A$5,informatieblad!$B$5,"")))))))</f>
        <v/>
      </c>
      <c r="AY44" s="276">
        <f>IF(AX44=AY42,(4*C44),0)</f>
        <v>0</v>
      </c>
      <c r="AZ44" s="274">
        <f>IF(AX44=AZ42,(4*C44),0)</f>
        <v>0</v>
      </c>
    </row>
    <row r="45" spans="1:52" ht="5.0999999999999996" customHeight="1" thickBot="1">
      <c r="A45" s="231"/>
      <c r="B45" s="232"/>
      <c r="C45" s="232"/>
      <c r="D45" s="232"/>
      <c r="E45" s="232"/>
      <c r="F45" s="232"/>
      <c r="G45" s="232"/>
      <c r="H45" s="232"/>
      <c r="I45" s="233"/>
      <c r="J45" s="64"/>
    </row>
    <row r="46" spans="1:52" ht="15.75" thickBot="1">
      <c r="A46" s="494"/>
      <c r="B46" s="234"/>
      <c r="C46" s="234"/>
      <c r="D46" s="220">
        <f>(B46&gt;0)*$I$8</f>
        <v>0</v>
      </c>
      <c r="E46" s="221"/>
      <c r="F46" s="221"/>
      <c r="G46" s="221"/>
      <c r="H46" s="221"/>
      <c r="I46" s="222"/>
      <c r="J46" s="345" t="s">
        <v>20</v>
      </c>
      <c r="T46" s="97" t="s">
        <v>14</v>
      </c>
      <c r="U46" s="98" t="s">
        <v>27</v>
      </c>
      <c r="V46" s="98" t="s">
        <v>28</v>
      </c>
      <c r="W46" s="98" t="s">
        <v>27</v>
      </c>
      <c r="X46" s="98" t="s">
        <v>28</v>
      </c>
      <c r="Y46" s="98" t="s">
        <v>29</v>
      </c>
      <c r="Z46" s="66" t="s">
        <v>30</v>
      </c>
      <c r="AA46" s="153" t="s">
        <v>31</v>
      </c>
      <c r="AB46" s="153"/>
      <c r="AC46" s="153"/>
      <c r="AD46" s="154" t="s">
        <v>83</v>
      </c>
      <c r="AE46" s="100" t="s">
        <v>83</v>
      </c>
      <c r="AF46" s="100" t="s">
        <v>83</v>
      </c>
      <c r="AG46" s="100" t="s">
        <v>33</v>
      </c>
      <c r="AH46" s="100" t="s">
        <v>34</v>
      </c>
      <c r="AI46" s="98" t="s">
        <v>32</v>
      </c>
      <c r="AJ46" s="98" t="s">
        <v>32</v>
      </c>
      <c r="AK46" s="98" t="s">
        <v>35</v>
      </c>
      <c r="AL46" s="101" t="s">
        <v>36</v>
      </c>
      <c r="AO46" s="97" t="str">
        <f>informatieblad!$A$6</f>
        <v>FL20</v>
      </c>
      <c r="AP46" s="97" t="str">
        <f>informatieblad!$A$7</f>
        <v>FL30</v>
      </c>
      <c r="AQ46" s="99" t="str">
        <f>informatieblad!$A$8</f>
        <v>FL40</v>
      </c>
      <c r="AR46" s="266" t="str">
        <f>informatieblad!$A$5</f>
        <v>none</v>
      </c>
      <c r="AS46" s="64"/>
      <c r="AT46" s="266" t="s">
        <v>17</v>
      </c>
      <c r="AU46" s="64"/>
      <c r="AV46" s="266" t="s">
        <v>37</v>
      </c>
      <c r="AW46" s="64"/>
      <c r="AX46" s="269" t="s">
        <v>38</v>
      </c>
      <c r="AY46" s="272">
        <f>informatieblad!$B$3</f>
        <v>0</v>
      </c>
      <c r="AZ46" s="264">
        <f>informatieblad!$B$4</f>
        <v>0</v>
      </c>
    </row>
    <row r="47" spans="1:52">
      <c r="A47" s="475"/>
      <c r="B47" s="496" t="str">
        <f>IF($C48&gt;0,IF(MAX(B46,C46)&lt;informatieblad!$Q$4,informatieblad!$P$3,IF(MAX(B46,C46)&gt;informatieblad!$R$4,informatieblad!$P$5,informatieblad!$P$4)),"")</f>
        <v/>
      </c>
      <c r="C47" s="497"/>
      <c r="D47" s="223"/>
      <c r="E47" s="223"/>
      <c r="F47" s="224" t="str">
        <f>A46&amp;"-"&amp;informatieblad!$B$17&amp;"-"&amp;B46&amp;"-"&amp;C46&amp;"-"&amp;D46&amp;"-"&amp;B47&amp;"-"&amp;F48</f>
        <v>-RctE---0--Options None</v>
      </c>
      <c r="G47" s="235"/>
      <c r="H47" s="235"/>
      <c r="I47" s="236"/>
      <c r="J47" s="83"/>
      <c r="T47" s="103">
        <f>A46</f>
        <v>0</v>
      </c>
      <c r="U47" s="104" t="s">
        <v>39</v>
      </c>
      <c r="V47" s="104" t="s">
        <v>39</v>
      </c>
      <c r="W47" s="104" t="s">
        <v>40</v>
      </c>
      <c r="X47" s="104" t="s">
        <v>40</v>
      </c>
      <c r="Y47" s="104" t="s">
        <v>40</v>
      </c>
      <c r="Z47" s="105"/>
      <c r="AA47" s="155" t="s">
        <v>27</v>
      </c>
      <c r="AB47" s="155" t="s">
        <v>40</v>
      </c>
      <c r="AC47" s="155" t="s">
        <v>41</v>
      </c>
      <c r="AD47" s="156" t="s">
        <v>105</v>
      </c>
      <c r="AE47" s="104" t="s">
        <v>106</v>
      </c>
      <c r="AF47" s="107" t="s">
        <v>87</v>
      </c>
      <c r="AG47" s="107" t="s">
        <v>44</v>
      </c>
      <c r="AH47" s="107"/>
      <c r="AI47" s="104" t="s">
        <v>40</v>
      </c>
      <c r="AJ47" s="104" t="s">
        <v>41</v>
      </c>
      <c r="AK47" s="108"/>
      <c r="AL47" s="109"/>
      <c r="AO47" s="262" t="str">
        <f>informatieblad!$A$2</f>
        <v>FL20 loose</v>
      </c>
      <c r="AP47" s="262" t="str">
        <f>informatieblad!$A$3</f>
        <v>FL30 loose</v>
      </c>
      <c r="AQ47" s="263" t="str">
        <f>informatieblad!$A$4</f>
        <v>FL40 loose</v>
      </c>
      <c r="AR47" s="282"/>
      <c r="AS47" s="64"/>
      <c r="AT47" s="267"/>
      <c r="AU47" s="64"/>
      <c r="AV47" s="267"/>
      <c r="AW47" s="64"/>
      <c r="AX47" s="265" t="s">
        <v>47</v>
      </c>
      <c r="AY47" s="83" t="s">
        <v>23</v>
      </c>
      <c r="AZ47" s="273" t="s">
        <v>23</v>
      </c>
    </row>
    <row r="48" spans="1:52" ht="15.75" thickBot="1">
      <c r="A48" s="495"/>
      <c r="B48" s="227" t="s">
        <v>23</v>
      </c>
      <c r="C48" s="237"/>
      <c r="D48" s="229">
        <f>C48*V48</f>
        <v>0</v>
      </c>
      <c r="E48" s="230" t="s">
        <v>24</v>
      </c>
      <c r="F48" s="498" t="s">
        <v>25</v>
      </c>
      <c r="G48" s="452"/>
      <c r="H48" s="452"/>
      <c r="I48" s="453"/>
      <c r="J48" s="176"/>
      <c r="T48" s="111"/>
      <c r="U48" s="112">
        <f>(((((B46+C46))*D46)+(B46*C46))/1000000)</f>
        <v>0</v>
      </c>
      <c r="V48" s="112">
        <f>((IF(U48&lt;=informatieblad!$I$17,informatieblad!$I$17,IF(U48&gt;=informatieblad!$I$17,U48))))</f>
        <v>0.5</v>
      </c>
      <c r="W48" s="112">
        <f>(B46*C46)/1000000</f>
        <v>0</v>
      </c>
      <c r="X48" s="112">
        <f>((IF(W48&lt;=informatieblad!$H$17,informatieblad!$H$17,IF(W48&gt;=informatieblad!$H$17,W48))))</f>
        <v>0</v>
      </c>
      <c r="Y48" s="113">
        <f>((X48*AI48)+(X48*AB48))*C48</f>
        <v>0</v>
      </c>
      <c r="Z48" s="114">
        <f>((V48*AJ48)+(V48*AC48))*C48</f>
        <v>0</v>
      </c>
      <c r="AA48" s="115" t="str">
        <f>F48</f>
        <v>Options None</v>
      </c>
      <c r="AB48" s="115">
        <f>VLOOKUP(F48,informatieblad!$A$37:$D$41,2,FALSE)</f>
        <v>0</v>
      </c>
      <c r="AC48" s="115">
        <f>VLOOKUP(F48,informatieblad!$A$37:$D$41,4,FALSE)</f>
        <v>0</v>
      </c>
      <c r="AD48" s="180">
        <f>(MAX(K46,L46))</f>
        <v>0</v>
      </c>
      <c r="AE48" s="119">
        <f>(MAX(M46,N46))</f>
        <v>0</v>
      </c>
      <c r="AF48" s="119">
        <f>(MAX(K46,M46))</f>
        <v>0</v>
      </c>
      <c r="AG48" s="119">
        <f>(MAX(B46:C46))</f>
        <v>0</v>
      </c>
      <c r="AH48" s="119">
        <f>LOOKUP(AG48,informatieblad!$C$27:$C$32,informatieblad!$A$27:$A$32)</f>
        <v>0.5</v>
      </c>
      <c r="AI48" s="118">
        <f>VLOOKUP(AH48,informatieblad!$A$27:$M$32,6,FALSE)</f>
        <v>0</v>
      </c>
      <c r="AJ48" s="118">
        <f>VLOOKUP(AH48,informatieblad!$A$27:$M$32,8,FALSE)</f>
        <v>45.1248</v>
      </c>
      <c r="AK48" s="120">
        <f>VLOOKUP(AH48,informatieblad!$A$27:$M$32,13,FALSE)</f>
        <v>4</v>
      </c>
      <c r="AL48" s="121">
        <f>ROUND((AK48*W48),1)</f>
        <v>0</v>
      </c>
      <c r="AO48" s="111">
        <f>(IF(B47=AO46,((2*B46)+(2*C46)),IF(B47=AO47,((2*B46)+(2*C46)),0)))*C48</f>
        <v>0</v>
      </c>
      <c r="AP48" s="111">
        <f>(IF(B47=AP46,((2*B46)+(2*C46)),IF(B47=AP47,((2*B46)+(2*C46)),0)))*C48</f>
        <v>0</v>
      </c>
      <c r="AQ48" s="261">
        <f>(IF(B47=AQ46,((2*B46)+(2*C46)),IF(B47=AQ47,((2*B46)+(2*C46)),0)))*C48</f>
        <v>0</v>
      </c>
      <c r="AR48" s="283">
        <f>(IF(B47=AR46,((2*B46)+(2*C46)),0))*C48</f>
        <v>0</v>
      </c>
      <c r="AS48" s="64"/>
      <c r="AT48" s="268">
        <f>D46*C48</f>
        <v>0</v>
      </c>
      <c r="AU48" s="64"/>
      <c r="AV48" s="268">
        <f>(AG48+100)*C48</f>
        <v>0</v>
      </c>
      <c r="AW48" s="64"/>
      <c r="AX48" s="111" t="str">
        <f>IF(B47=informatieblad!$A$6,informatieblad!$B$6,IF(B47=informatieblad!$A$7,informatieblad!$B$7,IF(B47=informatieblad!$A$8,informatieblad!$B$8,IF(B47=informatieblad!$A$2,informatieblad!$B$2,IF(B47=informatieblad!$A$3,informatieblad!$B$3,IF(B47=informatieblad!$A$4,informatieblad!$B$4,IF(B47=informatieblad!$A$5,informatieblad!$B$5,"")))))))</f>
        <v/>
      </c>
      <c r="AY48" s="276">
        <f>IF(AX48=AY46,(4*C48),0)</f>
        <v>0</v>
      </c>
      <c r="AZ48" s="274">
        <f>IF(AX48=AZ46,(4*C48),0)</f>
        <v>0</v>
      </c>
    </row>
    <row r="49" spans="1:52" ht="5.0999999999999996" customHeight="1" thickBot="1">
      <c r="A49" s="231"/>
      <c r="B49" s="232"/>
      <c r="C49" s="232"/>
      <c r="D49" s="232"/>
      <c r="E49" s="232"/>
      <c r="F49" s="232"/>
      <c r="G49" s="232"/>
      <c r="H49" s="232"/>
      <c r="I49" s="233"/>
      <c r="J49" s="64"/>
    </row>
    <row r="50" spans="1:52" ht="15.75" thickBot="1">
      <c r="A50" s="494"/>
      <c r="B50" s="234"/>
      <c r="C50" s="234"/>
      <c r="D50" s="220">
        <f>(B50&gt;0)*$I$8</f>
        <v>0</v>
      </c>
      <c r="E50" s="221"/>
      <c r="F50" s="221"/>
      <c r="G50" s="221"/>
      <c r="H50" s="221"/>
      <c r="I50" s="222"/>
      <c r="J50" s="345" t="s">
        <v>20</v>
      </c>
      <c r="T50" s="97" t="s">
        <v>14</v>
      </c>
      <c r="U50" s="98" t="s">
        <v>27</v>
      </c>
      <c r="V50" s="98" t="s">
        <v>28</v>
      </c>
      <c r="W50" s="98" t="s">
        <v>27</v>
      </c>
      <c r="X50" s="98" t="s">
        <v>28</v>
      </c>
      <c r="Y50" s="98" t="s">
        <v>29</v>
      </c>
      <c r="Z50" s="66" t="s">
        <v>30</v>
      </c>
      <c r="AA50" s="153" t="s">
        <v>31</v>
      </c>
      <c r="AB50" s="153"/>
      <c r="AC50" s="153"/>
      <c r="AD50" s="154" t="s">
        <v>83</v>
      </c>
      <c r="AE50" s="100" t="s">
        <v>83</v>
      </c>
      <c r="AF50" s="100" t="s">
        <v>83</v>
      </c>
      <c r="AG50" s="100" t="s">
        <v>33</v>
      </c>
      <c r="AH50" s="100" t="s">
        <v>34</v>
      </c>
      <c r="AI50" s="98" t="s">
        <v>32</v>
      </c>
      <c r="AJ50" s="98" t="s">
        <v>32</v>
      </c>
      <c r="AK50" s="98" t="s">
        <v>35</v>
      </c>
      <c r="AL50" s="101" t="s">
        <v>36</v>
      </c>
      <c r="AO50" s="97" t="str">
        <f>informatieblad!$A$6</f>
        <v>FL20</v>
      </c>
      <c r="AP50" s="97" t="str">
        <f>informatieblad!$A$7</f>
        <v>FL30</v>
      </c>
      <c r="AQ50" s="99" t="str">
        <f>informatieblad!$A$8</f>
        <v>FL40</v>
      </c>
      <c r="AR50" s="266" t="str">
        <f>informatieblad!$A$5</f>
        <v>none</v>
      </c>
      <c r="AS50" s="64"/>
      <c r="AT50" s="266" t="s">
        <v>17</v>
      </c>
      <c r="AU50" s="64"/>
      <c r="AV50" s="266" t="s">
        <v>37</v>
      </c>
      <c r="AW50" s="64"/>
      <c r="AX50" s="269" t="s">
        <v>38</v>
      </c>
      <c r="AY50" s="272">
        <f>informatieblad!$B$3</f>
        <v>0</v>
      </c>
      <c r="AZ50" s="264">
        <f>informatieblad!$B$4</f>
        <v>0</v>
      </c>
    </row>
    <row r="51" spans="1:52">
      <c r="A51" s="475"/>
      <c r="B51" s="496" t="str">
        <f>IF($C52&gt;0,IF(MAX(B50,C50)&lt;informatieblad!$Q$4,informatieblad!$P$3,IF(MAX(B50,C50)&gt;informatieblad!$R$4,informatieblad!$P$5,informatieblad!$P$4)),"")</f>
        <v/>
      </c>
      <c r="C51" s="497"/>
      <c r="D51" s="223"/>
      <c r="E51" s="223"/>
      <c r="F51" s="224" t="str">
        <f>A50&amp;"-"&amp;informatieblad!$B$17&amp;"-"&amp;B50&amp;"-"&amp;C50&amp;"-"&amp;D50&amp;"-"&amp;B51&amp;"-"&amp;F52</f>
        <v>-RctE---0--Options None</v>
      </c>
      <c r="G51" s="235"/>
      <c r="H51" s="235"/>
      <c r="I51" s="236"/>
      <c r="J51" s="83"/>
      <c r="T51" s="103">
        <f>A50</f>
        <v>0</v>
      </c>
      <c r="U51" s="104" t="s">
        <v>39</v>
      </c>
      <c r="V51" s="104" t="s">
        <v>39</v>
      </c>
      <c r="W51" s="104" t="s">
        <v>40</v>
      </c>
      <c r="X51" s="104" t="s">
        <v>40</v>
      </c>
      <c r="Y51" s="104" t="s">
        <v>40</v>
      </c>
      <c r="Z51" s="105"/>
      <c r="AA51" s="155" t="s">
        <v>27</v>
      </c>
      <c r="AB51" s="155" t="s">
        <v>40</v>
      </c>
      <c r="AC51" s="155" t="s">
        <v>41</v>
      </c>
      <c r="AD51" s="156" t="s">
        <v>105</v>
      </c>
      <c r="AE51" s="104" t="s">
        <v>106</v>
      </c>
      <c r="AF51" s="107" t="s">
        <v>87</v>
      </c>
      <c r="AG51" s="107" t="s">
        <v>44</v>
      </c>
      <c r="AH51" s="107"/>
      <c r="AI51" s="104" t="s">
        <v>40</v>
      </c>
      <c r="AJ51" s="104" t="s">
        <v>41</v>
      </c>
      <c r="AK51" s="108"/>
      <c r="AL51" s="109"/>
      <c r="AO51" s="262" t="str">
        <f>informatieblad!$A$2</f>
        <v>FL20 loose</v>
      </c>
      <c r="AP51" s="262" t="str">
        <f>informatieblad!$A$3</f>
        <v>FL30 loose</v>
      </c>
      <c r="AQ51" s="263" t="str">
        <f>informatieblad!$A$4</f>
        <v>FL40 loose</v>
      </c>
      <c r="AR51" s="282"/>
      <c r="AS51" s="64"/>
      <c r="AT51" s="267"/>
      <c r="AU51" s="64"/>
      <c r="AV51" s="267"/>
      <c r="AW51" s="64"/>
      <c r="AX51" s="265" t="s">
        <v>47</v>
      </c>
      <c r="AY51" s="83" t="s">
        <v>23</v>
      </c>
      <c r="AZ51" s="273" t="s">
        <v>23</v>
      </c>
    </row>
    <row r="52" spans="1:52" ht="15.75" thickBot="1">
      <c r="A52" s="495"/>
      <c r="B52" s="227" t="s">
        <v>23</v>
      </c>
      <c r="C52" s="237"/>
      <c r="D52" s="229">
        <f>C52*V52</f>
        <v>0</v>
      </c>
      <c r="E52" s="230" t="s">
        <v>24</v>
      </c>
      <c r="F52" s="498" t="s">
        <v>25</v>
      </c>
      <c r="G52" s="452"/>
      <c r="H52" s="452"/>
      <c r="I52" s="453"/>
      <c r="J52" s="176"/>
      <c r="T52" s="111"/>
      <c r="U52" s="112">
        <f>(((((B50+C50))*D50)+(B50*C50))/1000000)</f>
        <v>0</v>
      </c>
      <c r="V52" s="112">
        <f>((IF(U52&lt;=informatieblad!$I$17,informatieblad!$I$17,IF(U52&gt;=informatieblad!$I$17,U52))))</f>
        <v>0.5</v>
      </c>
      <c r="W52" s="112">
        <f>(B50*C50)/1000000</f>
        <v>0</v>
      </c>
      <c r="X52" s="112">
        <f>((IF(W52&lt;=informatieblad!$H$17,informatieblad!$H$17,IF(W52&gt;=informatieblad!$H$17,W52))))</f>
        <v>0</v>
      </c>
      <c r="Y52" s="113">
        <f>((X52*AI52)+(X52*AB52))*C52</f>
        <v>0</v>
      </c>
      <c r="Z52" s="114">
        <f>((V52*AJ52)+(V52*AC52))*C52</f>
        <v>0</v>
      </c>
      <c r="AA52" s="115" t="str">
        <f>F52</f>
        <v>Options None</v>
      </c>
      <c r="AB52" s="115">
        <f>VLOOKUP(F52,informatieblad!$A$37:$D$41,2,FALSE)</f>
        <v>0</v>
      </c>
      <c r="AC52" s="115">
        <f>VLOOKUP(F52,informatieblad!$A$37:$D$41,4,FALSE)</f>
        <v>0</v>
      </c>
      <c r="AD52" s="180">
        <f>(MAX(K50,L50))</f>
        <v>0</v>
      </c>
      <c r="AE52" s="119">
        <f>(MAX(M50,N50))</f>
        <v>0</v>
      </c>
      <c r="AF52" s="119">
        <f>(MAX(K50,M50))</f>
        <v>0</v>
      </c>
      <c r="AG52" s="119">
        <f>(MAX(B50:C50))</f>
        <v>0</v>
      </c>
      <c r="AH52" s="119">
        <f>LOOKUP(AG52,informatieblad!$C$27:$C$32,informatieblad!$A$27:$A$32)</f>
        <v>0.5</v>
      </c>
      <c r="AI52" s="118">
        <f>VLOOKUP(AH52,informatieblad!$A$27:$M$32,6,FALSE)</f>
        <v>0</v>
      </c>
      <c r="AJ52" s="118">
        <f>VLOOKUP(AH52,informatieblad!$A$27:$M$32,8,FALSE)</f>
        <v>45.1248</v>
      </c>
      <c r="AK52" s="120">
        <f>VLOOKUP(AH52,informatieblad!$A$27:$M$32,13,FALSE)</f>
        <v>4</v>
      </c>
      <c r="AL52" s="121">
        <f>ROUND((AK52*W52),1)</f>
        <v>0</v>
      </c>
      <c r="AO52" s="111">
        <f>(IF(B51=AO50,((2*B50)+(2*C50)),IF(B51=AO51,((2*B50)+(2*C50)),0)))*C52</f>
        <v>0</v>
      </c>
      <c r="AP52" s="111">
        <f>(IF(B51=AP50,((2*B50)+(2*C50)),IF(B51=AP51,((2*B50)+(2*C50)),0)))*C52</f>
        <v>0</v>
      </c>
      <c r="AQ52" s="261">
        <f>(IF(B51=AQ50,((2*B50)+(2*C50)),IF(B51=AQ51,((2*B50)+(2*C50)),0)))*C52</f>
        <v>0</v>
      </c>
      <c r="AR52" s="283">
        <f>(IF(B51=AR50,((2*B50)+(2*C50)),0))*C52</f>
        <v>0</v>
      </c>
      <c r="AS52" s="64"/>
      <c r="AT52" s="268">
        <f>D50*C52</f>
        <v>0</v>
      </c>
      <c r="AU52" s="64"/>
      <c r="AV52" s="268">
        <f>(AG52+100)*C52</f>
        <v>0</v>
      </c>
      <c r="AW52" s="64"/>
      <c r="AX52" s="111" t="str">
        <f>IF(B51=informatieblad!$A$6,informatieblad!$B$6,IF(B51=informatieblad!$A$7,informatieblad!$B$7,IF(B51=informatieblad!$A$8,informatieblad!$B$8,IF(B51=informatieblad!$A$2,informatieblad!$B$2,IF(B51=informatieblad!$A$3,informatieblad!$B$3,IF(B51=informatieblad!$A$4,informatieblad!$B$4,IF(B51=informatieblad!$A$5,informatieblad!$B$5,"")))))))</f>
        <v/>
      </c>
      <c r="AY52" s="276">
        <f>IF(AX52=AY50,(4*C52),0)</f>
        <v>0</v>
      </c>
      <c r="AZ52" s="274">
        <f>IF(AX52=AZ50,(4*C52),0)</f>
        <v>0</v>
      </c>
    </row>
    <row r="53" spans="1:52" ht="5.0999999999999996" customHeight="1" thickBot="1">
      <c r="A53" s="231"/>
      <c r="B53" s="232"/>
      <c r="C53" s="232"/>
      <c r="D53" s="232"/>
      <c r="E53" s="232"/>
      <c r="F53" s="232"/>
      <c r="G53" s="232"/>
      <c r="H53" s="232"/>
      <c r="I53" s="233"/>
      <c r="J53" s="64"/>
    </row>
    <row r="54" spans="1:52" ht="15.75" thickBot="1">
      <c r="A54" s="494"/>
      <c r="B54" s="234"/>
      <c r="C54" s="234"/>
      <c r="D54" s="220">
        <f>(B54&gt;0)*$I$8</f>
        <v>0</v>
      </c>
      <c r="E54" s="221"/>
      <c r="F54" s="221"/>
      <c r="G54" s="221"/>
      <c r="H54" s="221"/>
      <c r="I54" s="222"/>
      <c r="J54" s="345" t="s">
        <v>20</v>
      </c>
      <c r="T54" s="97" t="s">
        <v>14</v>
      </c>
      <c r="U54" s="98" t="s">
        <v>27</v>
      </c>
      <c r="V54" s="98" t="s">
        <v>28</v>
      </c>
      <c r="W54" s="98" t="s">
        <v>27</v>
      </c>
      <c r="X54" s="98" t="s">
        <v>28</v>
      </c>
      <c r="Y54" s="98" t="s">
        <v>29</v>
      </c>
      <c r="Z54" s="66" t="s">
        <v>30</v>
      </c>
      <c r="AA54" s="153" t="s">
        <v>31</v>
      </c>
      <c r="AB54" s="153"/>
      <c r="AC54" s="153"/>
      <c r="AD54" s="154" t="s">
        <v>83</v>
      </c>
      <c r="AE54" s="100" t="s">
        <v>83</v>
      </c>
      <c r="AF54" s="100" t="s">
        <v>83</v>
      </c>
      <c r="AG54" s="100" t="s">
        <v>33</v>
      </c>
      <c r="AH54" s="100" t="s">
        <v>34</v>
      </c>
      <c r="AI54" s="98" t="s">
        <v>32</v>
      </c>
      <c r="AJ54" s="98" t="s">
        <v>32</v>
      </c>
      <c r="AK54" s="98" t="s">
        <v>49</v>
      </c>
      <c r="AL54" s="101" t="s">
        <v>36</v>
      </c>
      <c r="AO54" s="97" t="str">
        <f>informatieblad!$A$6</f>
        <v>FL20</v>
      </c>
      <c r="AP54" s="97" t="str">
        <f>informatieblad!$A$7</f>
        <v>FL30</v>
      </c>
      <c r="AQ54" s="99" t="str">
        <f>informatieblad!$A$8</f>
        <v>FL40</v>
      </c>
      <c r="AR54" s="266" t="str">
        <f>informatieblad!$A$5</f>
        <v>none</v>
      </c>
      <c r="AS54" s="64"/>
      <c r="AT54" s="266" t="s">
        <v>17</v>
      </c>
      <c r="AU54" s="64"/>
      <c r="AV54" s="266" t="s">
        <v>37</v>
      </c>
      <c r="AW54" s="64"/>
      <c r="AX54" s="269" t="s">
        <v>38</v>
      </c>
      <c r="AY54" s="272">
        <f>informatieblad!$B$3</f>
        <v>0</v>
      </c>
      <c r="AZ54" s="264">
        <f>informatieblad!$B$4</f>
        <v>0</v>
      </c>
    </row>
    <row r="55" spans="1:52">
      <c r="A55" s="475"/>
      <c r="B55" s="496" t="str">
        <f>IF($C56&gt;0,IF(MAX(B54,C54)&lt;informatieblad!$Q$4,informatieblad!$P$3,IF(MAX(B54,C54)&gt;informatieblad!$R$4,informatieblad!$P$5,informatieblad!$P$4)),"")</f>
        <v/>
      </c>
      <c r="C55" s="497"/>
      <c r="D55" s="223"/>
      <c r="E55" s="223"/>
      <c r="F55" s="224" t="str">
        <f>A54&amp;"-"&amp;informatieblad!$B$17&amp;"-"&amp;B54&amp;"-"&amp;C54&amp;"-"&amp;D54&amp;"-"&amp;B55&amp;"-"&amp;F56</f>
        <v>-RctE---0--Options None</v>
      </c>
      <c r="G55" s="235"/>
      <c r="H55" s="235"/>
      <c r="I55" s="236"/>
      <c r="J55" s="83"/>
      <c r="T55" s="103">
        <f>A54</f>
        <v>0</v>
      </c>
      <c r="U55" s="104" t="s">
        <v>39</v>
      </c>
      <c r="V55" s="104" t="s">
        <v>39</v>
      </c>
      <c r="W55" s="104" t="s">
        <v>40</v>
      </c>
      <c r="X55" s="104" t="s">
        <v>40</v>
      </c>
      <c r="Y55" s="104" t="s">
        <v>40</v>
      </c>
      <c r="Z55" s="105"/>
      <c r="AA55" s="155" t="s">
        <v>27</v>
      </c>
      <c r="AB55" s="155" t="s">
        <v>40</v>
      </c>
      <c r="AC55" s="155" t="s">
        <v>41</v>
      </c>
      <c r="AD55" s="156" t="s">
        <v>107</v>
      </c>
      <c r="AE55" s="104" t="s">
        <v>108</v>
      </c>
      <c r="AF55" s="107" t="s">
        <v>91</v>
      </c>
      <c r="AG55" s="107" t="s">
        <v>44</v>
      </c>
      <c r="AH55" s="107"/>
      <c r="AI55" s="104" t="s">
        <v>40</v>
      </c>
      <c r="AJ55" s="104" t="s">
        <v>41</v>
      </c>
      <c r="AK55" s="108"/>
      <c r="AL55" s="109"/>
      <c r="AO55" s="262" t="str">
        <f>informatieblad!$A$2</f>
        <v>FL20 loose</v>
      </c>
      <c r="AP55" s="262" t="str">
        <f>informatieblad!$A$3</f>
        <v>FL30 loose</v>
      </c>
      <c r="AQ55" s="263" t="str">
        <f>informatieblad!$A$4</f>
        <v>FL40 loose</v>
      </c>
      <c r="AR55" s="282"/>
      <c r="AS55" s="64"/>
      <c r="AT55" s="267"/>
      <c r="AU55" s="64"/>
      <c r="AV55" s="267"/>
      <c r="AW55" s="64"/>
      <c r="AX55" s="265" t="s">
        <v>47</v>
      </c>
      <c r="AY55" s="83" t="s">
        <v>23</v>
      </c>
      <c r="AZ55" s="273" t="s">
        <v>23</v>
      </c>
    </row>
    <row r="56" spans="1:52" ht="15.75" thickBot="1">
      <c r="A56" s="495"/>
      <c r="B56" s="227" t="s">
        <v>23</v>
      </c>
      <c r="C56" s="237"/>
      <c r="D56" s="229">
        <f>C56*V56</f>
        <v>0</v>
      </c>
      <c r="E56" s="230" t="s">
        <v>24</v>
      </c>
      <c r="F56" s="498" t="s">
        <v>25</v>
      </c>
      <c r="G56" s="452"/>
      <c r="H56" s="452"/>
      <c r="I56" s="453"/>
      <c r="J56" s="176"/>
      <c r="T56" s="111"/>
      <c r="U56" s="112">
        <f>(((((B54+C54))*D54)+(B54*C54))/1000000)</f>
        <v>0</v>
      </c>
      <c r="V56" s="112">
        <f>((IF(U56&lt;=informatieblad!$I$17,informatieblad!$I$17,IF(U56&gt;=informatieblad!$I$17,U56))))</f>
        <v>0.5</v>
      </c>
      <c r="W56" s="112">
        <f>(B54*C54)/1000000</f>
        <v>0</v>
      </c>
      <c r="X56" s="112">
        <f>((IF(W56&lt;=informatieblad!$H$17,informatieblad!$H$17,IF(W56&gt;=informatieblad!$H$17,W56))))</f>
        <v>0</v>
      </c>
      <c r="Y56" s="113">
        <f>((X56*AI56)+(X56*AB56))*C56</f>
        <v>0</v>
      </c>
      <c r="Z56" s="114">
        <f>((V56*AJ56)+(V56*AC56))*C56</f>
        <v>0</v>
      </c>
      <c r="AA56" s="115" t="str">
        <f>F56</f>
        <v>Options None</v>
      </c>
      <c r="AB56" s="115">
        <f>VLOOKUP(F56,informatieblad!$A$37:$D$41,2,FALSE)</f>
        <v>0</v>
      </c>
      <c r="AC56" s="115">
        <f>VLOOKUP(F56,informatieblad!$A$37:$D$41,4,FALSE)</f>
        <v>0</v>
      </c>
      <c r="AD56" s="180">
        <f>(MAX(K54,L54))</f>
        <v>0</v>
      </c>
      <c r="AE56" s="119">
        <f>(MAX(M54,N54))</f>
        <v>0</v>
      </c>
      <c r="AF56" s="119">
        <f>(MAX(K54,M54))</f>
        <v>0</v>
      </c>
      <c r="AG56" s="119">
        <f>(MAX(B54:C54))</f>
        <v>0</v>
      </c>
      <c r="AH56" s="119">
        <f>LOOKUP(AG56,informatieblad!$C$27:$C$32,informatieblad!$A$27:$A$32)</f>
        <v>0.5</v>
      </c>
      <c r="AI56" s="118">
        <f>VLOOKUP(AH56,informatieblad!$A$27:$M$32,6,FALSE)</f>
        <v>0</v>
      </c>
      <c r="AJ56" s="118">
        <f>VLOOKUP(AH56,informatieblad!$A$27:$M$32,8,FALSE)</f>
        <v>45.1248</v>
      </c>
      <c r="AK56" s="120">
        <f>VLOOKUP(AH56,informatieblad!$A$27:$M$32,13,FALSE)</f>
        <v>4</v>
      </c>
      <c r="AL56" s="121">
        <f>ROUND((AK56*W56),1)</f>
        <v>0</v>
      </c>
      <c r="AO56" s="111">
        <f>(IF(B55=AO54,((2*B54)+(2*C54)),IF(B55=AO55,((2*B54)+(2*C54)),0)))*C56</f>
        <v>0</v>
      </c>
      <c r="AP56" s="111">
        <f>(IF(B55=AP54,((2*B54)+(2*C54)),IF(B55=AP55,((2*B54)+(2*C54)),0)))*C56</f>
        <v>0</v>
      </c>
      <c r="AQ56" s="261">
        <f>(IF(B55=AQ54,((2*B54)+(2*C54)),IF(B55=AQ55,((2*B54)+(2*C54)),0)))*C56</f>
        <v>0</v>
      </c>
      <c r="AR56" s="283">
        <f>(IF(B55=AR54,((2*B54)+(2*C54)),0))*C56</f>
        <v>0</v>
      </c>
      <c r="AS56" s="64"/>
      <c r="AT56" s="268">
        <f>D54*C56</f>
        <v>0</v>
      </c>
      <c r="AU56" s="64"/>
      <c r="AV56" s="268">
        <f>(AG56+100)*C56</f>
        <v>0</v>
      </c>
      <c r="AW56" s="64"/>
      <c r="AX56" s="111" t="str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/>
      </c>
      <c r="AY56" s="276">
        <f>IF(AX56=AY54,(4*C56),0)</f>
        <v>0</v>
      </c>
      <c r="AZ56" s="274">
        <f>IF(AX56=AZ54,(4*C56),0)</f>
        <v>0</v>
      </c>
    </row>
    <row r="57" spans="1:52" ht="5.0999999999999996" customHeight="1" thickBot="1">
      <c r="A57" s="231"/>
      <c r="B57" s="232"/>
      <c r="C57" s="232"/>
      <c r="D57" s="232"/>
      <c r="E57" s="232"/>
      <c r="F57" s="232"/>
      <c r="G57" s="232"/>
      <c r="H57" s="232"/>
      <c r="I57" s="233"/>
      <c r="J57" s="64"/>
    </row>
    <row r="58" spans="1:52" ht="15.75" thickBot="1">
      <c r="A58" s="494"/>
      <c r="B58" s="234"/>
      <c r="C58" s="234"/>
      <c r="D58" s="220">
        <f>(B58&gt;0)*$I$8</f>
        <v>0</v>
      </c>
      <c r="E58" s="221"/>
      <c r="F58" s="221"/>
      <c r="G58" s="221"/>
      <c r="H58" s="221"/>
      <c r="I58" s="222"/>
      <c r="J58" s="345" t="s">
        <v>20</v>
      </c>
      <c r="T58" s="97" t="s">
        <v>14</v>
      </c>
      <c r="U58" s="98" t="s">
        <v>27</v>
      </c>
      <c r="V58" s="98" t="s">
        <v>28</v>
      </c>
      <c r="W58" s="98" t="s">
        <v>27</v>
      </c>
      <c r="X58" s="98" t="s">
        <v>28</v>
      </c>
      <c r="Y58" s="98" t="s">
        <v>29</v>
      </c>
      <c r="Z58" s="66" t="s">
        <v>30</v>
      </c>
      <c r="AA58" s="153" t="s">
        <v>31</v>
      </c>
      <c r="AB58" s="153"/>
      <c r="AC58" s="153"/>
      <c r="AD58" s="154" t="s">
        <v>83</v>
      </c>
      <c r="AE58" s="100" t="s">
        <v>83</v>
      </c>
      <c r="AF58" s="100" t="s">
        <v>83</v>
      </c>
      <c r="AG58" s="100" t="s">
        <v>33</v>
      </c>
      <c r="AH58" s="100" t="s">
        <v>34</v>
      </c>
      <c r="AI58" s="98" t="s">
        <v>32</v>
      </c>
      <c r="AJ58" s="98" t="s">
        <v>32</v>
      </c>
      <c r="AK58" s="98" t="s">
        <v>49</v>
      </c>
      <c r="AL58" s="101" t="s">
        <v>36</v>
      </c>
      <c r="AO58" s="97" t="str">
        <f>informatieblad!$A$6</f>
        <v>FL20</v>
      </c>
      <c r="AP58" s="97" t="str">
        <f>informatieblad!$A$7</f>
        <v>FL30</v>
      </c>
      <c r="AQ58" s="99" t="str">
        <f>informatieblad!$A$8</f>
        <v>FL40</v>
      </c>
      <c r="AR58" s="266" t="str">
        <f>informatieblad!$A$5</f>
        <v>none</v>
      </c>
      <c r="AS58" s="64"/>
      <c r="AT58" s="266" t="s">
        <v>17</v>
      </c>
      <c r="AU58" s="64"/>
      <c r="AV58" s="266" t="s">
        <v>37</v>
      </c>
      <c r="AW58" s="64"/>
      <c r="AX58" s="269" t="s">
        <v>38</v>
      </c>
      <c r="AY58" s="272">
        <f>informatieblad!$B$3</f>
        <v>0</v>
      </c>
      <c r="AZ58" s="264">
        <f>informatieblad!$B$4</f>
        <v>0</v>
      </c>
    </row>
    <row r="59" spans="1:52">
      <c r="A59" s="475"/>
      <c r="B59" s="496" t="str">
        <f>IF($C60&gt;0,IF(MAX(B58,C58)&lt;informatieblad!$Q$4,informatieblad!$P$3,IF(MAX(B58,C58)&gt;informatieblad!$R$4,informatieblad!$P$5,informatieblad!$P$4)),"")</f>
        <v/>
      </c>
      <c r="C59" s="497"/>
      <c r="D59" s="223"/>
      <c r="E59" s="223"/>
      <c r="F59" s="224" t="str">
        <f>A58&amp;"-"&amp;informatieblad!$B$17&amp;"-"&amp;B58&amp;"-"&amp;C58&amp;"-"&amp;D58&amp;"-"&amp;B59&amp;"-"&amp;F60</f>
        <v>-RctE---0--Options None</v>
      </c>
      <c r="G59" s="235"/>
      <c r="H59" s="235"/>
      <c r="I59" s="236"/>
      <c r="J59" s="83"/>
      <c r="T59" s="103">
        <f>A58</f>
        <v>0</v>
      </c>
      <c r="U59" s="104" t="s">
        <v>39</v>
      </c>
      <c r="V59" s="104" t="s">
        <v>39</v>
      </c>
      <c r="W59" s="104" t="s">
        <v>40</v>
      </c>
      <c r="X59" s="104" t="s">
        <v>40</v>
      </c>
      <c r="Y59" s="104" t="s">
        <v>40</v>
      </c>
      <c r="Z59" s="105"/>
      <c r="AA59" s="155" t="s">
        <v>27</v>
      </c>
      <c r="AB59" s="155" t="s">
        <v>40</v>
      </c>
      <c r="AC59" s="155" t="s">
        <v>41</v>
      </c>
      <c r="AD59" s="156" t="s">
        <v>107</v>
      </c>
      <c r="AE59" s="104" t="s">
        <v>108</v>
      </c>
      <c r="AF59" s="107" t="s">
        <v>91</v>
      </c>
      <c r="AG59" s="107" t="s">
        <v>44</v>
      </c>
      <c r="AH59" s="107"/>
      <c r="AI59" s="104" t="s">
        <v>40</v>
      </c>
      <c r="AJ59" s="104" t="s">
        <v>41</v>
      </c>
      <c r="AK59" s="108"/>
      <c r="AL59" s="109"/>
      <c r="AO59" s="262" t="str">
        <f>informatieblad!$A$2</f>
        <v>FL20 loose</v>
      </c>
      <c r="AP59" s="262" t="str">
        <f>informatieblad!$A$3</f>
        <v>FL30 loose</v>
      </c>
      <c r="AQ59" s="263" t="str">
        <f>informatieblad!$A$4</f>
        <v>FL40 loose</v>
      </c>
      <c r="AR59" s="282"/>
      <c r="AS59" s="64"/>
      <c r="AT59" s="267"/>
      <c r="AU59" s="64"/>
      <c r="AV59" s="267"/>
      <c r="AW59" s="64"/>
      <c r="AX59" s="265" t="s">
        <v>47</v>
      </c>
      <c r="AY59" s="83" t="s">
        <v>23</v>
      </c>
      <c r="AZ59" s="273" t="s">
        <v>23</v>
      </c>
    </row>
    <row r="60" spans="1:52" ht="15.75" thickBot="1">
      <c r="A60" s="495"/>
      <c r="B60" s="227" t="s">
        <v>23</v>
      </c>
      <c r="C60" s="237"/>
      <c r="D60" s="229">
        <f>C60*V60</f>
        <v>0</v>
      </c>
      <c r="E60" s="230" t="s">
        <v>24</v>
      </c>
      <c r="F60" s="498" t="s">
        <v>25</v>
      </c>
      <c r="G60" s="452"/>
      <c r="H60" s="452"/>
      <c r="I60" s="453"/>
      <c r="J60" s="176"/>
      <c r="T60" s="111"/>
      <c r="U60" s="112">
        <f>(((((B58+C58))*D58)+(B58*C58))/1000000)</f>
        <v>0</v>
      </c>
      <c r="V60" s="112">
        <f>((IF(U60&lt;=informatieblad!$I$17,informatieblad!$I$17,IF(U60&gt;=informatieblad!$I$17,U60))))</f>
        <v>0.5</v>
      </c>
      <c r="W60" s="112">
        <f>(B58*C58)/1000000</f>
        <v>0</v>
      </c>
      <c r="X60" s="112">
        <f>((IF(W60&lt;=informatieblad!$H$17,informatieblad!$H$17,IF(W60&gt;=informatieblad!$H$17,W60))))</f>
        <v>0</v>
      </c>
      <c r="Y60" s="113">
        <f>((X60*AI60)+(X60*AB60))*C60</f>
        <v>0</v>
      </c>
      <c r="Z60" s="114">
        <f>((V60*AJ60)+(V60*AC60))*C60</f>
        <v>0</v>
      </c>
      <c r="AA60" s="115" t="str">
        <f>F60</f>
        <v>Options None</v>
      </c>
      <c r="AB60" s="115">
        <f>VLOOKUP(F60,informatieblad!$A$37:$D$41,2,FALSE)</f>
        <v>0</v>
      </c>
      <c r="AC60" s="115">
        <f>VLOOKUP(F60,informatieblad!$A$37:$D$41,4,FALSE)</f>
        <v>0</v>
      </c>
      <c r="AD60" s="180">
        <f>(MAX(K58,L58))</f>
        <v>0</v>
      </c>
      <c r="AE60" s="119">
        <f>(MAX(M58,N58))</f>
        <v>0</v>
      </c>
      <c r="AF60" s="119">
        <f>(MAX(K58,M58))</f>
        <v>0</v>
      </c>
      <c r="AG60" s="119">
        <f>(MAX(B58:C58))</f>
        <v>0</v>
      </c>
      <c r="AH60" s="119">
        <f>LOOKUP(AG60,informatieblad!$C$27:$C$32,informatieblad!$A$27:$A$32)</f>
        <v>0.5</v>
      </c>
      <c r="AI60" s="118">
        <f>VLOOKUP(AH60,informatieblad!$A$27:$M$32,6,FALSE)</f>
        <v>0</v>
      </c>
      <c r="AJ60" s="118">
        <f>VLOOKUP(AH60,informatieblad!$A$27:$M$32,8,FALSE)</f>
        <v>45.1248</v>
      </c>
      <c r="AK60" s="120">
        <f>VLOOKUP(AH60,informatieblad!$A$27:$M$32,13,FALSE)</f>
        <v>4</v>
      </c>
      <c r="AL60" s="121">
        <f>ROUND((AK60*W60),1)</f>
        <v>0</v>
      </c>
      <c r="AO60" s="111">
        <f>(IF(B59=AO58,((2*B58)+(2*C58)),IF(B59=AO59,((2*B58)+(2*C58)),0)))*C60</f>
        <v>0</v>
      </c>
      <c r="AP60" s="111">
        <f>(IF(B59=AP58,((2*B58)+(2*C58)),IF(B59=AP59,((2*B58)+(2*C58)),0)))*C60</f>
        <v>0</v>
      </c>
      <c r="AQ60" s="261">
        <f>(IF(B59=AQ58,((2*B58)+(2*C58)),IF(B59=AQ59,((2*B58)+(2*C58)),0)))*C60</f>
        <v>0</v>
      </c>
      <c r="AR60" s="283">
        <f>(IF(B59=AR58,((2*B58)+(2*C58)),0))*C60</f>
        <v>0</v>
      </c>
      <c r="AS60" s="64"/>
      <c r="AT60" s="268">
        <f>D58*C60</f>
        <v>0</v>
      </c>
      <c r="AU60" s="64"/>
      <c r="AV60" s="268">
        <f>(AG60+100)*C60</f>
        <v>0</v>
      </c>
      <c r="AW60" s="64"/>
      <c r="AX60" s="111" t="str">
        <f>IF(B59=informatieblad!$A$6,informatieblad!$B$6,IF(B59=informatieblad!$A$7,informatieblad!$B$7,IF(B59=informatieblad!$A$8,informatieblad!$B$8,IF(B59=informatieblad!$A$2,informatieblad!$B$2,IF(B59=informatieblad!$A$3,informatieblad!$B$3,IF(B59=informatieblad!$A$4,informatieblad!$B$4,IF(B59=informatieblad!$A$5,informatieblad!$B$5,"")))))))</f>
        <v/>
      </c>
      <c r="AY60" s="276">
        <f>IF(AX60=AY58,(4*C60),0)</f>
        <v>0</v>
      </c>
      <c r="AZ60" s="274">
        <f>IF(AX60=AZ58,(4*C60),0)</f>
        <v>0</v>
      </c>
    </row>
    <row r="61" spans="1:52" ht="5.0999999999999996" customHeight="1" thickBot="1">
      <c r="A61" s="231"/>
      <c r="B61" s="232"/>
      <c r="C61" s="232"/>
      <c r="D61" s="232"/>
      <c r="E61" s="232"/>
      <c r="F61" s="232"/>
      <c r="G61" s="232"/>
      <c r="H61" s="232"/>
      <c r="I61" s="233"/>
      <c r="J61" s="64"/>
    </row>
    <row r="62" spans="1:52" ht="15.75" thickBot="1">
      <c r="A62" s="494"/>
      <c r="B62" s="234"/>
      <c r="C62" s="234"/>
      <c r="D62" s="220">
        <f>(B62&gt;0)*$I$8</f>
        <v>0</v>
      </c>
      <c r="E62" s="221"/>
      <c r="F62" s="221"/>
      <c r="G62" s="221"/>
      <c r="H62" s="221"/>
      <c r="I62" s="222"/>
      <c r="J62" s="345" t="s">
        <v>20</v>
      </c>
      <c r="T62" s="97" t="s">
        <v>14</v>
      </c>
      <c r="U62" s="98" t="s">
        <v>27</v>
      </c>
      <c r="V62" s="98" t="s">
        <v>28</v>
      </c>
      <c r="W62" s="98" t="s">
        <v>27</v>
      </c>
      <c r="X62" s="98" t="s">
        <v>28</v>
      </c>
      <c r="Y62" s="98" t="s">
        <v>29</v>
      </c>
      <c r="Z62" s="66" t="s">
        <v>30</v>
      </c>
      <c r="AA62" s="153" t="s">
        <v>31</v>
      </c>
      <c r="AB62" s="153"/>
      <c r="AC62" s="153"/>
      <c r="AD62" s="154" t="s">
        <v>83</v>
      </c>
      <c r="AE62" s="100" t="s">
        <v>83</v>
      </c>
      <c r="AF62" s="100" t="s">
        <v>83</v>
      </c>
      <c r="AG62" s="100" t="s">
        <v>33</v>
      </c>
      <c r="AH62" s="100" t="s">
        <v>34</v>
      </c>
      <c r="AI62" s="98" t="s">
        <v>32</v>
      </c>
      <c r="AJ62" s="98" t="s">
        <v>32</v>
      </c>
      <c r="AK62" s="98" t="s">
        <v>49</v>
      </c>
      <c r="AL62" s="101" t="s">
        <v>36</v>
      </c>
      <c r="AO62" s="97" t="str">
        <f>informatieblad!$A$6</f>
        <v>FL20</v>
      </c>
      <c r="AP62" s="97" t="str">
        <f>informatieblad!$A$7</f>
        <v>FL30</v>
      </c>
      <c r="AQ62" s="99" t="str">
        <f>informatieblad!$A$8</f>
        <v>FL40</v>
      </c>
      <c r="AR62" s="266" t="str">
        <f>informatieblad!$A$5</f>
        <v>none</v>
      </c>
      <c r="AS62" s="64"/>
      <c r="AT62" s="266" t="s">
        <v>17</v>
      </c>
      <c r="AU62" s="64"/>
      <c r="AV62" s="266" t="s">
        <v>37</v>
      </c>
      <c r="AW62" s="64"/>
      <c r="AX62" s="269" t="s">
        <v>38</v>
      </c>
      <c r="AY62" s="272">
        <f>informatieblad!$B$3</f>
        <v>0</v>
      </c>
      <c r="AZ62" s="264">
        <f>informatieblad!$B$4</f>
        <v>0</v>
      </c>
    </row>
    <row r="63" spans="1:52">
      <c r="A63" s="475"/>
      <c r="B63" s="496" t="str">
        <f>IF($C64&gt;0,IF(MAX(B62,C62)&lt;informatieblad!$Q$4,informatieblad!$P$3,IF(MAX(B62,C62)&gt;informatieblad!$R$4,informatieblad!$P$5,informatieblad!$P$4)),"")</f>
        <v/>
      </c>
      <c r="C63" s="497"/>
      <c r="D63" s="223"/>
      <c r="E63" s="223"/>
      <c r="F63" s="224" t="str">
        <f>A62&amp;"-"&amp;informatieblad!$B$17&amp;"-"&amp;B62&amp;"-"&amp;C62&amp;"-"&amp;D62&amp;"-"&amp;B63&amp;"-"&amp;F64</f>
        <v>-RctE---0--Options None</v>
      </c>
      <c r="G63" s="235"/>
      <c r="H63" s="235"/>
      <c r="I63" s="236"/>
      <c r="J63" s="83"/>
      <c r="T63" s="103">
        <f>A62</f>
        <v>0</v>
      </c>
      <c r="U63" s="104" t="s">
        <v>39</v>
      </c>
      <c r="V63" s="104" t="s">
        <v>39</v>
      </c>
      <c r="W63" s="104" t="s">
        <v>40</v>
      </c>
      <c r="X63" s="104" t="s">
        <v>40</v>
      </c>
      <c r="Y63" s="104" t="s">
        <v>40</v>
      </c>
      <c r="Z63" s="105"/>
      <c r="AA63" s="155" t="s">
        <v>27</v>
      </c>
      <c r="AB63" s="155" t="s">
        <v>40</v>
      </c>
      <c r="AC63" s="155" t="s">
        <v>41</v>
      </c>
      <c r="AD63" s="156" t="s">
        <v>107</v>
      </c>
      <c r="AE63" s="104" t="s">
        <v>108</v>
      </c>
      <c r="AF63" s="107" t="s">
        <v>91</v>
      </c>
      <c r="AG63" s="107" t="s">
        <v>44</v>
      </c>
      <c r="AH63" s="107"/>
      <c r="AI63" s="104" t="s">
        <v>40</v>
      </c>
      <c r="AJ63" s="104" t="s">
        <v>41</v>
      </c>
      <c r="AK63" s="108"/>
      <c r="AL63" s="109"/>
      <c r="AO63" s="262" t="str">
        <f>informatieblad!$A$2</f>
        <v>FL20 loose</v>
      </c>
      <c r="AP63" s="262" t="str">
        <f>informatieblad!$A$3</f>
        <v>FL30 loose</v>
      </c>
      <c r="AQ63" s="263" t="str">
        <f>informatieblad!$A$4</f>
        <v>FL40 loose</v>
      </c>
      <c r="AR63" s="282"/>
      <c r="AS63" s="64"/>
      <c r="AT63" s="267"/>
      <c r="AU63" s="64"/>
      <c r="AV63" s="267"/>
      <c r="AW63" s="64"/>
      <c r="AX63" s="265" t="s">
        <v>47</v>
      </c>
      <c r="AY63" s="83" t="s">
        <v>23</v>
      </c>
      <c r="AZ63" s="273" t="s">
        <v>23</v>
      </c>
    </row>
    <row r="64" spans="1:52" ht="15.75" thickBot="1">
      <c r="A64" s="495"/>
      <c r="B64" s="227" t="s">
        <v>23</v>
      </c>
      <c r="C64" s="237"/>
      <c r="D64" s="229">
        <f>C64*V64</f>
        <v>0</v>
      </c>
      <c r="E64" s="230" t="s">
        <v>24</v>
      </c>
      <c r="F64" s="498" t="s">
        <v>25</v>
      </c>
      <c r="G64" s="452"/>
      <c r="H64" s="452"/>
      <c r="I64" s="453"/>
      <c r="J64" s="176"/>
      <c r="T64" s="111"/>
      <c r="U64" s="112">
        <f>(((((B62+C62))*D62)+(B62*C62))/1000000)</f>
        <v>0</v>
      </c>
      <c r="V64" s="112">
        <f>((IF(U64&lt;=informatieblad!$I$17,informatieblad!$I$17,IF(U64&gt;=informatieblad!$I$17,U64))))</f>
        <v>0.5</v>
      </c>
      <c r="W64" s="112">
        <f>(B62*C62)/1000000</f>
        <v>0</v>
      </c>
      <c r="X64" s="112">
        <f>((IF(W64&lt;=informatieblad!$H$17,informatieblad!$H$17,IF(W64&gt;=informatieblad!$H$17,W64))))</f>
        <v>0</v>
      </c>
      <c r="Y64" s="113">
        <f>((X64*AI64)+(X64*AB64))*C64</f>
        <v>0</v>
      </c>
      <c r="Z64" s="114">
        <f>((V64*AJ64)+(V64*AC64))*C64</f>
        <v>0</v>
      </c>
      <c r="AA64" s="115" t="str">
        <f>F64</f>
        <v>Options None</v>
      </c>
      <c r="AB64" s="115">
        <f>VLOOKUP(F64,informatieblad!$A$37:$D$41,2,FALSE)</f>
        <v>0</v>
      </c>
      <c r="AC64" s="115">
        <f>VLOOKUP(F64,informatieblad!$A$37:$D$41,4,FALSE)</f>
        <v>0</v>
      </c>
      <c r="AD64" s="180">
        <f>(MAX(K62,L62))</f>
        <v>0</v>
      </c>
      <c r="AE64" s="119">
        <f>(MAX(M62,N62))</f>
        <v>0</v>
      </c>
      <c r="AF64" s="119">
        <f>(MAX(K62,M62))</f>
        <v>0</v>
      </c>
      <c r="AG64" s="119">
        <f>(MAX(B62:C62))</f>
        <v>0</v>
      </c>
      <c r="AH64" s="119">
        <f>LOOKUP(AG64,informatieblad!$C$27:$C$32,informatieblad!$A$27:$A$32)</f>
        <v>0.5</v>
      </c>
      <c r="AI64" s="118">
        <f>VLOOKUP(AH64,informatieblad!$A$27:$M$32,6,FALSE)</f>
        <v>0</v>
      </c>
      <c r="AJ64" s="118">
        <f>VLOOKUP(AH64,informatieblad!$A$27:$M$32,8,FALSE)</f>
        <v>45.1248</v>
      </c>
      <c r="AK64" s="120">
        <f>VLOOKUP(AH64,informatieblad!$A$27:$M$32,13,FALSE)</f>
        <v>4</v>
      </c>
      <c r="AL64" s="121">
        <f>ROUND((AK64*W64),1)</f>
        <v>0</v>
      </c>
      <c r="AO64" s="111">
        <f>(IF(B63=AO62,((2*B62)+(2*C62)),IF(B63=AO63,((2*B62)+(2*C62)),0)))*C64</f>
        <v>0</v>
      </c>
      <c r="AP64" s="111">
        <f>(IF(B63=AP62,((2*B62)+(2*C62)),IF(B63=AP63,((2*B62)+(2*C62)),0)))*C64</f>
        <v>0</v>
      </c>
      <c r="AQ64" s="261">
        <f>(IF(B63=AQ62,((2*B62)+(2*C62)),IF(B63=AQ63,((2*B62)+(2*C62)),0)))*C64</f>
        <v>0</v>
      </c>
      <c r="AR64" s="283">
        <f>(IF(B63=AR62,((2*B62)+(2*C62)),0))*C64</f>
        <v>0</v>
      </c>
      <c r="AS64" s="64"/>
      <c r="AT64" s="268">
        <f>D62*C64</f>
        <v>0</v>
      </c>
      <c r="AU64" s="64"/>
      <c r="AV64" s="268">
        <f>(AG64+100)*C64</f>
        <v>0</v>
      </c>
      <c r="AW64" s="64"/>
      <c r="AX64" s="111" t="str">
        <f>IF(B63=informatieblad!$A$6,informatieblad!$B$6,IF(B63=informatieblad!$A$7,informatieblad!$B$7,IF(B63=informatieblad!$A$8,informatieblad!$B$8,IF(B63=informatieblad!$A$2,informatieblad!$B$2,IF(B63=informatieblad!$A$3,informatieblad!$B$3,IF(B63=informatieblad!$A$4,informatieblad!$B$4,IF(B63=informatieblad!$A$5,informatieblad!$B$5,"")))))))</f>
        <v/>
      </c>
      <c r="AY64" s="276">
        <f>IF(AX64=AY62,(4*C64),0)</f>
        <v>0</v>
      </c>
      <c r="AZ64" s="274">
        <f>IF(AX64=AZ62,(4*C64),0)</f>
        <v>0</v>
      </c>
    </row>
    <row r="65" spans="1:52" ht="5.0999999999999996" customHeight="1" thickBot="1">
      <c r="A65" s="231"/>
      <c r="B65" s="232"/>
      <c r="C65" s="232"/>
      <c r="D65" s="232"/>
      <c r="E65" s="232"/>
      <c r="F65" s="232"/>
      <c r="G65" s="232"/>
      <c r="H65" s="232"/>
      <c r="I65" s="233"/>
      <c r="J65" s="64"/>
    </row>
    <row r="66" spans="1:52" ht="15.75" thickBot="1">
      <c r="A66" s="494"/>
      <c r="B66" s="234"/>
      <c r="C66" s="234"/>
      <c r="D66" s="220">
        <f>(B66&gt;0)*$I$8</f>
        <v>0</v>
      </c>
      <c r="E66" s="221"/>
      <c r="F66" s="221"/>
      <c r="G66" s="221"/>
      <c r="H66" s="221"/>
      <c r="I66" s="222"/>
      <c r="J66" s="345" t="s">
        <v>20</v>
      </c>
      <c r="T66" s="97" t="s">
        <v>14</v>
      </c>
      <c r="U66" s="98" t="s">
        <v>27</v>
      </c>
      <c r="V66" s="98" t="s">
        <v>28</v>
      </c>
      <c r="W66" s="98" t="s">
        <v>27</v>
      </c>
      <c r="X66" s="98" t="s">
        <v>28</v>
      </c>
      <c r="Y66" s="98" t="s">
        <v>29</v>
      </c>
      <c r="Z66" s="66" t="s">
        <v>30</v>
      </c>
      <c r="AA66" s="153" t="s">
        <v>31</v>
      </c>
      <c r="AB66" s="153"/>
      <c r="AC66" s="153"/>
      <c r="AD66" s="154" t="s">
        <v>83</v>
      </c>
      <c r="AE66" s="100" t="s">
        <v>83</v>
      </c>
      <c r="AF66" s="100" t="s">
        <v>83</v>
      </c>
      <c r="AG66" s="100" t="s">
        <v>33</v>
      </c>
      <c r="AH66" s="100" t="s">
        <v>34</v>
      </c>
      <c r="AI66" s="98" t="s">
        <v>32</v>
      </c>
      <c r="AJ66" s="98" t="s">
        <v>32</v>
      </c>
      <c r="AK66" s="98" t="s">
        <v>49</v>
      </c>
      <c r="AL66" s="101" t="s">
        <v>36</v>
      </c>
      <c r="AO66" s="97" t="str">
        <f>informatieblad!$A$6</f>
        <v>FL20</v>
      </c>
      <c r="AP66" s="97" t="str">
        <f>informatieblad!$A$7</f>
        <v>FL30</v>
      </c>
      <c r="AQ66" s="99" t="str">
        <f>informatieblad!$A$8</f>
        <v>FL40</v>
      </c>
      <c r="AR66" s="266" t="str">
        <f>informatieblad!$A$5</f>
        <v>none</v>
      </c>
      <c r="AS66" s="64"/>
      <c r="AT66" s="266" t="s">
        <v>17</v>
      </c>
      <c r="AU66" s="64"/>
      <c r="AV66" s="266" t="s">
        <v>37</v>
      </c>
      <c r="AW66" s="64"/>
      <c r="AX66" s="269" t="s">
        <v>38</v>
      </c>
      <c r="AY66" s="272">
        <f>informatieblad!$B$3</f>
        <v>0</v>
      </c>
      <c r="AZ66" s="264">
        <f>informatieblad!$B$4</f>
        <v>0</v>
      </c>
    </row>
    <row r="67" spans="1:52">
      <c r="A67" s="475"/>
      <c r="B67" s="496" t="str">
        <f>IF($C68&gt;0,IF(MAX(B66,C66)&lt;informatieblad!$Q$4,informatieblad!$P$3,IF(MAX(B66,C66)&gt;informatieblad!$R$4,informatieblad!$P$5,informatieblad!$P$4)),"")</f>
        <v/>
      </c>
      <c r="C67" s="497"/>
      <c r="D67" s="223"/>
      <c r="E67" s="223"/>
      <c r="F67" s="224" t="str">
        <f>A66&amp;"-"&amp;informatieblad!$B$17&amp;"-"&amp;B66&amp;"-"&amp;C66&amp;"-"&amp;D66&amp;"-"&amp;B67&amp;"-"&amp;F68</f>
        <v>-RctE---0--Options None</v>
      </c>
      <c r="G67" s="235"/>
      <c r="H67" s="235"/>
      <c r="I67" s="236"/>
      <c r="J67" s="83"/>
      <c r="T67" s="103">
        <f>A66</f>
        <v>0</v>
      </c>
      <c r="U67" s="104" t="s">
        <v>39</v>
      </c>
      <c r="V67" s="104" t="s">
        <v>39</v>
      </c>
      <c r="W67" s="104" t="s">
        <v>40</v>
      </c>
      <c r="X67" s="104" t="s">
        <v>40</v>
      </c>
      <c r="Y67" s="104" t="s">
        <v>40</v>
      </c>
      <c r="Z67" s="105"/>
      <c r="AA67" s="155" t="s">
        <v>27</v>
      </c>
      <c r="AB67" s="155" t="s">
        <v>40</v>
      </c>
      <c r="AC67" s="155" t="s">
        <v>41</v>
      </c>
      <c r="AD67" s="156" t="s">
        <v>107</v>
      </c>
      <c r="AE67" s="104" t="s">
        <v>108</v>
      </c>
      <c r="AF67" s="107" t="s">
        <v>91</v>
      </c>
      <c r="AG67" s="107" t="s">
        <v>44</v>
      </c>
      <c r="AH67" s="107"/>
      <c r="AI67" s="104" t="s">
        <v>40</v>
      </c>
      <c r="AJ67" s="104" t="s">
        <v>41</v>
      </c>
      <c r="AK67" s="108"/>
      <c r="AL67" s="109"/>
      <c r="AO67" s="262" t="str">
        <f>informatieblad!$A$2</f>
        <v>FL20 loose</v>
      </c>
      <c r="AP67" s="262" t="str">
        <f>informatieblad!$A$3</f>
        <v>FL30 loose</v>
      </c>
      <c r="AQ67" s="263" t="str">
        <f>informatieblad!$A$4</f>
        <v>FL40 loose</v>
      </c>
      <c r="AR67" s="282"/>
      <c r="AS67" s="64"/>
      <c r="AT67" s="267"/>
      <c r="AU67" s="64"/>
      <c r="AV67" s="267"/>
      <c r="AW67" s="64"/>
      <c r="AX67" s="265" t="s">
        <v>47</v>
      </c>
      <c r="AY67" s="83" t="s">
        <v>23</v>
      </c>
      <c r="AZ67" s="273" t="s">
        <v>23</v>
      </c>
    </row>
    <row r="68" spans="1:52" ht="15.75" thickBot="1">
      <c r="A68" s="495"/>
      <c r="B68" s="227" t="s">
        <v>23</v>
      </c>
      <c r="C68" s="237"/>
      <c r="D68" s="229">
        <f>C68*V68</f>
        <v>0</v>
      </c>
      <c r="E68" s="230" t="s">
        <v>24</v>
      </c>
      <c r="F68" s="498" t="s">
        <v>25</v>
      </c>
      <c r="G68" s="452"/>
      <c r="H68" s="452"/>
      <c r="I68" s="453"/>
      <c r="J68" s="176"/>
      <c r="T68" s="111"/>
      <c r="U68" s="112">
        <f>(((((B66+C66))*D66)+(B66*C66))/1000000)</f>
        <v>0</v>
      </c>
      <c r="V68" s="112">
        <f>((IF(U68&lt;=informatieblad!$I$17,informatieblad!$I$17,IF(U68&gt;=informatieblad!$I$17,U68))))</f>
        <v>0.5</v>
      </c>
      <c r="W68" s="112">
        <f>(B66*C66)/1000000</f>
        <v>0</v>
      </c>
      <c r="X68" s="112">
        <f>((IF(W68&lt;=informatieblad!$H$17,informatieblad!$H$17,IF(W68&gt;=informatieblad!$H$17,W68))))</f>
        <v>0</v>
      </c>
      <c r="Y68" s="113">
        <f>((X68*AI68)+(X68*AB68))*C68</f>
        <v>0</v>
      </c>
      <c r="Z68" s="114">
        <f>((V68*AJ68)+(V68*AC68))*C68</f>
        <v>0</v>
      </c>
      <c r="AA68" s="115" t="str">
        <f>F68</f>
        <v>Options None</v>
      </c>
      <c r="AB68" s="115">
        <f>VLOOKUP(F68,informatieblad!$A$37:$D$41,2,FALSE)</f>
        <v>0</v>
      </c>
      <c r="AC68" s="115">
        <f>VLOOKUP(F68,informatieblad!$A$37:$D$41,4,FALSE)</f>
        <v>0</v>
      </c>
      <c r="AD68" s="180">
        <f>(MAX(K66,L66))</f>
        <v>0</v>
      </c>
      <c r="AE68" s="119">
        <f>(MAX(M66,N66))</f>
        <v>0</v>
      </c>
      <c r="AF68" s="119">
        <f>(MAX(K66,M66))</f>
        <v>0</v>
      </c>
      <c r="AG68" s="119">
        <f>(MAX(B66:C66))</f>
        <v>0</v>
      </c>
      <c r="AH68" s="119">
        <f>LOOKUP(AG68,informatieblad!$C$27:$C$32,informatieblad!$A$27:$A$32)</f>
        <v>0.5</v>
      </c>
      <c r="AI68" s="118">
        <f>VLOOKUP(AH68,informatieblad!$A$27:$M$32,6,FALSE)</f>
        <v>0</v>
      </c>
      <c r="AJ68" s="118">
        <f>VLOOKUP(AH68,informatieblad!$A$27:$M$32,8,FALSE)</f>
        <v>45.1248</v>
      </c>
      <c r="AK68" s="120">
        <f>VLOOKUP(AH68,informatieblad!$A$27:$M$32,13,FALSE)</f>
        <v>4</v>
      </c>
      <c r="AL68" s="121">
        <f>ROUND((AK68*W68),1)</f>
        <v>0</v>
      </c>
      <c r="AO68" s="111">
        <f>(IF(B67=AO66,((2*B66)+(2*C66)),IF(B67=AO67,((2*B66)+(2*C66)),0)))*C68</f>
        <v>0</v>
      </c>
      <c r="AP68" s="111">
        <f>(IF(B67=AP66,((2*B66)+(2*C66)),IF(B67=AP67,((2*B66)+(2*C66)),0)))*C68</f>
        <v>0</v>
      </c>
      <c r="AQ68" s="261">
        <f>(IF(B67=AQ66,((2*B66)+(2*C66)),IF(B67=AQ67,((2*B66)+(2*C66)),0)))*C68</f>
        <v>0</v>
      </c>
      <c r="AR68" s="283">
        <f>(IF(B67=AR66,((2*B66)+(2*C66)),0))*C68</f>
        <v>0</v>
      </c>
      <c r="AS68" s="64"/>
      <c r="AT68" s="268">
        <f>D66*C68</f>
        <v>0</v>
      </c>
      <c r="AU68" s="64"/>
      <c r="AV68" s="268">
        <f>(AG68+100)*C68</f>
        <v>0</v>
      </c>
      <c r="AW68" s="64"/>
      <c r="AX68" s="111" t="str">
        <f>IF(B67=informatieblad!$A$6,informatieblad!$B$6,IF(B67=informatieblad!$A$7,informatieblad!$B$7,IF(B67=informatieblad!$A$8,informatieblad!$B$8,IF(B67=informatieblad!$A$2,informatieblad!$B$2,IF(B67=informatieblad!$A$3,informatieblad!$B$3,IF(B67=informatieblad!$A$4,informatieblad!$B$4,IF(B67=informatieblad!$A$5,informatieblad!$B$5,"")))))))</f>
        <v/>
      </c>
      <c r="AY68" s="276">
        <f>IF(AX68=AY66,(4*C68),0)</f>
        <v>0</v>
      </c>
      <c r="AZ68" s="274">
        <f>IF(AX68=AZ66,(4*C68),0)</f>
        <v>0</v>
      </c>
    </row>
    <row r="69" spans="1:52" ht="5.0999999999999996" customHeight="1" thickBot="1">
      <c r="A69" s="231"/>
      <c r="B69" s="232"/>
      <c r="C69" s="232"/>
      <c r="D69" s="232"/>
      <c r="E69" s="232"/>
      <c r="F69" s="232"/>
      <c r="G69" s="232"/>
      <c r="H69" s="232"/>
      <c r="I69" s="233"/>
      <c r="J69" s="64"/>
    </row>
    <row r="70" spans="1:52" ht="15.75" thickBot="1">
      <c r="A70" s="494"/>
      <c r="B70" s="234"/>
      <c r="C70" s="234"/>
      <c r="D70" s="220">
        <f>(B70&gt;0)*$I$8</f>
        <v>0</v>
      </c>
      <c r="E70" s="221"/>
      <c r="F70" s="221"/>
      <c r="G70" s="221"/>
      <c r="H70" s="221"/>
      <c r="I70" s="222"/>
      <c r="J70" s="345" t="s">
        <v>20</v>
      </c>
      <c r="T70" s="97" t="s">
        <v>14</v>
      </c>
      <c r="U70" s="98" t="s">
        <v>27</v>
      </c>
      <c r="V70" s="98" t="s">
        <v>28</v>
      </c>
      <c r="W70" s="98" t="s">
        <v>27</v>
      </c>
      <c r="X70" s="98" t="s">
        <v>28</v>
      </c>
      <c r="Y70" s="98" t="s">
        <v>29</v>
      </c>
      <c r="Z70" s="66" t="s">
        <v>30</v>
      </c>
      <c r="AA70" s="153" t="s">
        <v>31</v>
      </c>
      <c r="AB70" s="153"/>
      <c r="AC70" s="153"/>
      <c r="AD70" s="154" t="s">
        <v>83</v>
      </c>
      <c r="AE70" s="100" t="s">
        <v>83</v>
      </c>
      <c r="AF70" s="100" t="s">
        <v>83</v>
      </c>
      <c r="AG70" s="100" t="s">
        <v>33</v>
      </c>
      <c r="AH70" s="100" t="s">
        <v>34</v>
      </c>
      <c r="AI70" s="98" t="s">
        <v>32</v>
      </c>
      <c r="AJ70" s="98" t="s">
        <v>32</v>
      </c>
      <c r="AK70" s="98" t="s">
        <v>49</v>
      </c>
      <c r="AL70" s="101" t="s">
        <v>36</v>
      </c>
      <c r="AO70" s="97" t="str">
        <f>informatieblad!$A$6</f>
        <v>FL20</v>
      </c>
      <c r="AP70" s="97" t="str">
        <f>informatieblad!$A$7</f>
        <v>FL30</v>
      </c>
      <c r="AQ70" s="99" t="str">
        <f>informatieblad!$A$8</f>
        <v>FL40</v>
      </c>
      <c r="AR70" s="266" t="str">
        <f>informatieblad!$A$5</f>
        <v>none</v>
      </c>
      <c r="AS70" s="64"/>
      <c r="AT70" s="266" t="s">
        <v>17</v>
      </c>
      <c r="AU70" s="64"/>
      <c r="AV70" s="266" t="s">
        <v>37</v>
      </c>
      <c r="AW70" s="64"/>
      <c r="AX70" s="269" t="s">
        <v>38</v>
      </c>
      <c r="AY70" s="272">
        <f>informatieblad!$B$3</f>
        <v>0</v>
      </c>
      <c r="AZ70" s="264">
        <f>informatieblad!$B$4</f>
        <v>0</v>
      </c>
    </row>
    <row r="71" spans="1:52">
      <c r="A71" s="475"/>
      <c r="B71" s="496" t="str">
        <f>IF($C72&gt;0,IF(MAX(B70,C70)&lt;informatieblad!$Q$4,informatieblad!$P$3,IF(MAX(B70,C70)&gt;informatieblad!$R$4,informatieblad!$P$5,informatieblad!$P$4)),"")</f>
        <v/>
      </c>
      <c r="C71" s="497"/>
      <c r="D71" s="223"/>
      <c r="E71" s="223"/>
      <c r="F71" s="224" t="str">
        <f>A70&amp;"-"&amp;informatieblad!$B$17&amp;"-"&amp;B70&amp;"-"&amp;C70&amp;"-"&amp;D70&amp;"-"&amp;B71&amp;"-"&amp;F72</f>
        <v>-RctE---0--Options None</v>
      </c>
      <c r="G71" s="235"/>
      <c r="H71" s="235"/>
      <c r="I71" s="236"/>
      <c r="J71" s="83"/>
      <c r="T71" s="103">
        <f>A70</f>
        <v>0</v>
      </c>
      <c r="U71" s="104" t="s">
        <v>39</v>
      </c>
      <c r="V71" s="104" t="s">
        <v>39</v>
      </c>
      <c r="W71" s="104" t="s">
        <v>40</v>
      </c>
      <c r="X71" s="104" t="s">
        <v>40</v>
      </c>
      <c r="Y71" s="104" t="s">
        <v>40</v>
      </c>
      <c r="Z71" s="105"/>
      <c r="AA71" s="155" t="s">
        <v>27</v>
      </c>
      <c r="AB71" s="155" t="s">
        <v>40</v>
      </c>
      <c r="AC71" s="155" t="s">
        <v>41</v>
      </c>
      <c r="AD71" s="156" t="s">
        <v>107</v>
      </c>
      <c r="AE71" s="104" t="s">
        <v>108</v>
      </c>
      <c r="AF71" s="107" t="s">
        <v>91</v>
      </c>
      <c r="AG71" s="107" t="s">
        <v>44</v>
      </c>
      <c r="AH71" s="107"/>
      <c r="AI71" s="104" t="s">
        <v>40</v>
      </c>
      <c r="AJ71" s="104" t="s">
        <v>41</v>
      </c>
      <c r="AK71" s="108"/>
      <c r="AL71" s="109"/>
      <c r="AO71" s="262" t="str">
        <f>informatieblad!$A$2</f>
        <v>FL20 loose</v>
      </c>
      <c r="AP71" s="262" t="str">
        <f>informatieblad!$A$3</f>
        <v>FL30 loose</v>
      </c>
      <c r="AQ71" s="263" t="str">
        <f>informatieblad!$A$4</f>
        <v>FL40 loose</v>
      </c>
      <c r="AR71" s="282"/>
      <c r="AS71" s="64"/>
      <c r="AT71" s="267"/>
      <c r="AU71" s="64"/>
      <c r="AV71" s="267"/>
      <c r="AW71" s="64"/>
      <c r="AX71" s="265" t="s">
        <v>47</v>
      </c>
      <c r="AY71" s="83" t="s">
        <v>23</v>
      </c>
      <c r="AZ71" s="273" t="s">
        <v>23</v>
      </c>
    </row>
    <row r="72" spans="1:52" ht="15.75" thickBot="1">
      <c r="A72" s="495"/>
      <c r="B72" s="227" t="s">
        <v>23</v>
      </c>
      <c r="C72" s="237"/>
      <c r="D72" s="229">
        <f>C72*V72</f>
        <v>0</v>
      </c>
      <c r="E72" s="230" t="s">
        <v>24</v>
      </c>
      <c r="F72" s="498" t="s">
        <v>25</v>
      </c>
      <c r="G72" s="452"/>
      <c r="H72" s="452"/>
      <c r="I72" s="453"/>
      <c r="J72" s="176"/>
      <c r="T72" s="111"/>
      <c r="U72" s="112">
        <f>(((((B70+C70))*D70)+(B70*C70))/1000000)</f>
        <v>0</v>
      </c>
      <c r="V72" s="112">
        <f>((IF(U72&lt;=informatieblad!$I$17,informatieblad!$I$17,IF(U72&gt;=informatieblad!$I$17,U72))))</f>
        <v>0.5</v>
      </c>
      <c r="W72" s="112">
        <f>(B70*C70)/1000000</f>
        <v>0</v>
      </c>
      <c r="X72" s="112">
        <f>((IF(W72&lt;=informatieblad!$H$17,informatieblad!$H$17,IF(W72&gt;=informatieblad!$H$17,W72))))</f>
        <v>0</v>
      </c>
      <c r="Y72" s="113">
        <f>((X72*AI72)+(X72*AB72))*C72</f>
        <v>0</v>
      </c>
      <c r="Z72" s="114">
        <f>((V72*AJ72)+(V72*AC72))*C72</f>
        <v>0</v>
      </c>
      <c r="AA72" s="115" t="str">
        <f>F72</f>
        <v>Options None</v>
      </c>
      <c r="AB72" s="115">
        <f>VLOOKUP(F72,informatieblad!$A$37:$D$41,2,FALSE)</f>
        <v>0</v>
      </c>
      <c r="AC72" s="115">
        <f>VLOOKUP(F72,informatieblad!$A$37:$D$41,4,FALSE)</f>
        <v>0</v>
      </c>
      <c r="AD72" s="180">
        <f>(MAX(K70,L70))</f>
        <v>0</v>
      </c>
      <c r="AE72" s="119">
        <f>(MAX(M70,N70))</f>
        <v>0</v>
      </c>
      <c r="AF72" s="119">
        <f>(MAX(K70,M70))</f>
        <v>0</v>
      </c>
      <c r="AG72" s="119">
        <f>(MAX(B70:C70))</f>
        <v>0</v>
      </c>
      <c r="AH72" s="119">
        <f>LOOKUP(AG72,informatieblad!$C$27:$C$32,informatieblad!$A$27:$A$32)</f>
        <v>0.5</v>
      </c>
      <c r="AI72" s="118">
        <f>VLOOKUP(AH72,informatieblad!$A$27:$M$32,6,FALSE)</f>
        <v>0</v>
      </c>
      <c r="AJ72" s="118">
        <f>VLOOKUP(AH72,informatieblad!$A$27:$M$32,8,FALSE)</f>
        <v>45.1248</v>
      </c>
      <c r="AK72" s="120">
        <f>VLOOKUP(AH72,informatieblad!$A$27:$M$32,13,FALSE)</f>
        <v>4</v>
      </c>
      <c r="AL72" s="121">
        <f>ROUND((AK72*W72),1)</f>
        <v>0</v>
      </c>
      <c r="AO72" s="111">
        <f>(IF(B71=AO70,((2*B70)+(2*C70)),IF(B71=AO71,((2*B70)+(2*C70)),0)))*C72</f>
        <v>0</v>
      </c>
      <c r="AP72" s="111">
        <f>(IF(B71=AP70,((2*B70)+(2*C70)),IF(B71=AP71,((2*B70)+(2*C70)),0)))*C72</f>
        <v>0</v>
      </c>
      <c r="AQ72" s="261">
        <f>(IF(B71=AQ70,((2*B70)+(2*C70)),IF(B71=AQ71,((2*B70)+(2*C70)),0)))*C72</f>
        <v>0</v>
      </c>
      <c r="AR72" s="283">
        <f>(IF(B71=AR70,((2*B70)+(2*C70)),0))*C72</f>
        <v>0</v>
      </c>
      <c r="AS72" s="64"/>
      <c r="AT72" s="268">
        <f>D70*C72</f>
        <v>0</v>
      </c>
      <c r="AU72" s="64"/>
      <c r="AV72" s="268">
        <f>(AG72+100)*C72</f>
        <v>0</v>
      </c>
      <c r="AW72" s="64"/>
      <c r="AX72" s="111" t="str">
        <f>IF(B71=informatieblad!$A$6,informatieblad!$B$6,IF(B71=informatieblad!$A$7,informatieblad!$B$7,IF(B71=informatieblad!$A$8,informatieblad!$B$8,IF(B71=informatieblad!$A$2,informatieblad!$B$2,IF(B71=informatieblad!$A$3,informatieblad!$B$3,IF(B71=informatieblad!$A$4,informatieblad!$B$4,IF(B71=informatieblad!$A$5,informatieblad!$B$5,"")))))))</f>
        <v/>
      </c>
      <c r="AY72" s="276">
        <f>IF(AX72=AY70,(4*C72),0)</f>
        <v>0</v>
      </c>
      <c r="AZ72" s="274">
        <f>IF(AX72=AZ70,(4*C72),0)</f>
        <v>0</v>
      </c>
    </row>
    <row r="73" spans="1:52" ht="5.0999999999999996" customHeight="1" thickBot="1">
      <c r="A73" s="231"/>
      <c r="B73" s="232"/>
      <c r="C73" s="232"/>
      <c r="D73" s="232"/>
      <c r="E73" s="232"/>
      <c r="F73" s="232"/>
      <c r="G73" s="232"/>
      <c r="H73" s="232"/>
      <c r="I73" s="233"/>
      <c r="J73" s="64"/>
    </row>
    <row r="74" spans="1:52" ht="15.75" thickBot="1">
      <c r="A74" s="494"/>
      <c r="B74" s="234"/>
      <c r="C74" s="234"/>
      <c r="D74" s="220">
        <f>(B74&gt;0)*$I$8</f>
        <v>0</v>
      </c>
      <c r="E74" s="221"/>
      <c r="F74" s="221"/>
      <c r="G74" s="221"/>
      <c r="H74" s="221"/>
      <c r="I74" s="222"/>
      <c r="J74" s="345" t="s">
        <v>20</v>
      </c>
      <c r="T74" s="97" t="s">
        <v>14</v>
      </c>
      <c r="U74" s="98" t="s">
        <v>27</v>
      </c>
      <c r="V74" s="98" t="s">
        <v>28</v>
      </c>
      <c r="W74" s="98" t="s">
        <v>27</v>
      </c>
      <c r="X74" s="98" t="s">
        <v>28</v>
      </c>
      <c r="Y74" s="98" t="s">
        <v>29</v>
      </c>
      <c r="Z74" s="66" t="s">
        <v>30</v>
      </c>
      <c r="AA74" s="153" t="s">
        <v>31</v>
      </c>
      <c r="AB74" s="153"/>
      <c r="AC74" s="153"/>
      <c r="AD74" s="154" t="s">
        <v>83</v>
      </c>
      <c r="AE74" s="100" t="s">
        <v>83</v>
      </c>
      <c r="AF74" s="100" t="s">
        <v>83</v>
      </c>
      <c r="AG74" s="100" t="s">
        <v>33</v>
      </c>
      <c r="AH74" s="100" t="s">
        <v>34</v>
      </c>
      <c r="AI74" s="98" t="s">
        <v>32</v>
      </c>
      <c r="AJ74" s="98" t="s">
        <v>32</v>
      </c>
      <c r="AK74" s="98" t="s">
        <v>49</v>
      </c>
      <c r="AL74" s="101" t="s">
        <v>36</v>
      </c>
      <c r="AO74" s="97" t="str">
        <f>informatieblad!$A$6</f>
        <v>FL20</v>
      </c>
      <c r="AP74" s="97" t="str">
        <f>informatieblad!$A$7</f>
        <v>FL30</v>
      </c>
      <c r="AQ74" s="99" t="str">
        <f>informatieblad!$A$8</f>
        <v>FL40</v>
      </c>
      <c r="AR74" s="266" t="str">
        <f>informatieblad!$A$5</f>
        <v>none</v>
      </c>
      <c r="AS74" s="64"/>
      <c r="AT74" s="266" t="s">
        <v>17</v>
      </c>
      <c r="AU74" s="64"/>
      <c r="AV74" s="266" t="s">
        <v>37</v>
      </c>
      <c r="AW74" s="64"/>
      <c r="AX74" s="269" t="s">
        <v>38</v>
      </c>
      <c r="AY74" s="272">
        <f>informatieblad!$B$3</f>
        <v>0</v>
      </c>
      <c r="AZ74" s="264">
        <f>informatieblad!$B$4</f>
        <v>0</v>
      </c>
    </row>
    <row r="75" spans="1:52">
      <c r="A75" s="475"/>
      <c r="B75" s="496" t="str">
        <f>IF($C76&gt;0,IF(MAX(B74,C74)&lt;informatieblad!$Q$4,informatieblad!$P$3,IF(MAX(B74,C74)&gt;informatieblad!$R$4,informatieblad!$P$5,informatieblad!$P$4)),"")</f>
        <v/>
      </c>
      <c r="C75" s="497"/>
      <c r="D75" s="223"/>
      <c r="E75" s="223"/>
      <c r="F75" s="224" t="str">
        <f>A74&amp;"-"&amp;informatieblad!$B$17&amp;"-"&amp;B74&amp;"-"&amp;C74&amp;"-"&amp;D74&amp;"-"&amp;B75&amp;"-"&amp;F76</f>
        <v>-RctE---0--Options None</v>
      </c>
      <c r="G75" s="235"/>
      <c r="H75" s="235"/>
      <c r="I75" s="236"/>
      <c r="J75" s="83"/>
      <c r="T75" s="103">
        <f>A74</f>
        <v>0</v>
      </c>
      <c r="U75" s="104" t="s">
        <v>39</v>
      </c>
      <c r="V75" s="104" t="s">
        <v>39</v>
      </c>
      <c r="W75" s="104" t="s">
        <v>40</v>
      </c>
      <c r="X75" s="104" t="s">
        <v>40</v>
      </c>
      <c r="Y75" s="104" t="s">
        <v>40</v>
      </c>
      <c r="Z75" s="105"/>
      <c r="AA75" s="155" t="s">
        <v>27</v>
      </c>
      <c r="AB75" s="155" t="s">
        <v>40</v>
      </c>
      <c r="AC75" s="155" t="s">
        <v>41</v>
      </c>
      <c r="AD75" s="156" t="s">
        <v>107</v>
      </c>
      <c r="AE75" s="104" t="s">
        <v>108</v>
      </c>
      <c r="AF75" s="107" t="s">
        <v>91</v>
      </c>
      <c r="AG75" s="107" t="s">
        <v>44</v>
      </c>
      <c r="AH75" s="107"/>
      <c r="AI75" s="104" t="s">
        <v>40</v>
      </c>
      <c r="AJ75" s="104" t="s">
        <v>41</v>
      </c>
      <c r="AK75" s="108"/>
      <c r="AL75" s="109"/>
      <c r="AO75" s="262" t="str">
        <f>informatieblad!$A$2</f>
        <v>FL20 loose</v>
      </c>
      <c r="AP75" s="262" t="str">
        <f>informatieblad!$A$3</f>
        <v>FL30 loose</v>
      </c>
      <c r="AQ75" s="263" t="str">
        <f>informatieblad!$A$4</f>
        <v>FL40 loose</v>
      </c>
      <c r="AR75" s="282"/>
      <c r="AS75" s="64"/>
      <c r="AT75" s="267"/>
      <c r="AU75" s="64"/>
      <c r="AV75" s="267"/>
      <c r="AW75" s="64"/>
      <c r="AX75" s="265" t="s">
        <v>47</v>
      </c>
      <c r="AY75" s="83" t="s">
        <v>23</v>
      </c>
      <c r="AZ75" s="273" t="s">
        <v>23</v>
      </c>
    </row>
    <row r="76" spans="1:52" ht="15.75" thickBot="1">
      <c r="A76" s="495"/>
      <c r="B76" s="227" t="s">
        <v>23</v>
      </c>
      <c r="C76" s="237"/>
      <c r="D76" s="229">
        <f>C76*V76</f>
        <v>0</v>
      </c>
      <c r="E76" s="230" t="s">
        <v>24</v>
      </c>
      <c r="F76" s="498" t="s">
        <v>25</v>
      </c>
      <c r="G76" s="452"/>
      <c r="H76" s="452"/>
      <c r="I76" s="453"/>
      <c r="J76" s="176"/>
      <c r="T76" s="111"/>
      <c r="U76" s="112">
        <f>(((((B74+C74))*D74)+(B74*C74))/1000000)</f>
        <v>0</v>
      </c>
      <c r="V76" s="112">
        <f>((IF(U76&lt;=informatieblad!$I$17,informatieblad!$I$17,IF(U76&gt;=informatieblad!$I$17,U76))))</f>
        <v>0.5</v>
      </c>
      <c r="W76" s="112">
        <f>(B74*C74)/1000000</f>
        <v>0</v>
      </c>
      <c r="X76" s="112">
        <f>((IF(W76&lt;=informatieblad!$H$17,informatieblad!$H$17,IF(W76&gt;=informatieblad!$H$17,W76))))</f>
        <v>0</v>
      </c>
      <c r="Y76" s="113">
        <f>((X76*AI76)+(X76*AB76))*C76</f>
        <v>0</v>
      </c>
      <c r="Z76" s="114">
        <f>((V76*AJ76)+(V76*AC76))*C76</f>
        <v>0</v>
      </c>
      <c r="AA76" s="115" t="str">
        <f>F76</f>
        <v>Options None</v>
      </c>
      <c r="AB76" s="115">
        <f>VLOOKUP(F76,informatieblad!$A$37:$D$41,2,FALSE)</f>
        <v>0</v>
      </c>
      <c r="AC76" s="115">
        <f>VLOOKUP(F76,informatieblad!$A$37:$D$41,4,FALSE)</f>
        <v>0</v>
      </c>
      <c r="AD76" s="180">
        <f>(MAX(K74,L74))</f>
        <v>0</v>
      </c>
      <c r="AE76" s="119">
        <f>(MAX(M74,N74))</f>
        <v>0</v>
      </c>
      <c r="AF76" s="119">
        <f>(MAX(K74,M74))</f>
        <v>0</v>
      </c>
      <c r="AG76" s="119">
        <f>(MAX(B74:C74))</f>
        <v>0</v>
      </c>
      <c r="AH76" s="119">
        <f>LOOKUP(AG76,informatieblad!$C$27:$C$32,informatieblad!$A$27:$A$32)</f>
        <v>0.5</v>
      </c>
      <c r="AI76" s="118">
        <f>VLOOKUP(AH76,informatieblad!$A$27:$M$32,6,FALSE)</f>
        <v>0</v>
      </c>
      <c r="AJ76" s="118">
        <f>VLOOKUP(AH76,informatieblad!$A$27:$M$32,8,FALSE)</f>
        <v>45.1248</v>
      </c>
      <c r="AK76" s="120">
        <f>VLOOKUP(AH76,informatieblad!$A$27:$M$32,13,FALSE)</f>
        <v>4</v>
      </c>
      <c r="AL76" s="121">
        <f>ROUND((AK76*W76),1)</f>
        <v>0</v>
      </c>
      <c r="AO76" s="111">
        <f>(IF(B75=AO74,((2*B74)+(2*C74)),IF(B75=AO75,((2*B74)+(2*C74)),0)))*C76</f>
        <v>0</v>
      </c>
      <c r="AP76" s="111">
        <f>(IF(B75=AP74,((2*B74)+(2*C74)),IF(B75=AP75,((2*B74)+(2*C74)),0)))*C76</f>
        <v>0</v>
      </c>
      <c r="AQ76" s="261">
        <f>(IF(B75=AQ74,((2*B74)+(2*C74)),IF(B75=AQ75,((2*B74)+(2*C74)),0)))*C76</f>
        <v>0</v>
      </c>
      <c r="AR76" s="283">
        <f>(IF(B75=AR74,((2*B74)+(2*C74)),0))*C76</f>
        <v>0</v>
      </c>
      <c r="AS76" s="64"/>
      <c r="AT76" s="268">
        <f>D74*C76</f>
        <v>0</v>
      </c>
      <c r="AU76" s="64"/>
      <c r="AV76" s="268">
        <f>(AG76+100)*C76</f>
        <v>0</v>
      </c>
      <c r="AW76" s="64"/>
      <c r="AX76" s="111" t="str">
        <f>IF(B75=informatieblad!$A$6,informatieblad!$B$6,IF(B75=informatieblad!$A$7,informatieblad!$B$7,IF(B75=informatieblad!$A$8,informatieblad!$B$8,IF(B75=informatieblad!$A$2,informatieblad!$B$2,IF(B75=informatieblad!$A$3,informatieblad!$B$3,IF(B75=informatieblad!$A$4,informatieblad!$B$4,IF(B75=informatieblad!$A$5,informatieblad!$B$5,"")))))))</f>
        <v/>
      </c>
      <c r="AY76" s="276">
        <f>IF(AX76=AY74,(4*C76),0)</f>
        <v>0</v>
      </c>
      <c r="AZ76" s="274">
        <f>IF(AX76=AZ74,(4*C76),0)</f>
        <v>0</v>
      </c>
    </row>
    <row r="77" spans="1:52" ht="5.0999999999999996" customHeight="1" thickBot="1">
      <c r="A77" s="231"/>
      <c r="B77" s="232"/>
      <c r="C77" s="232"/>
      <c r="D77" s="232"/>
      <c r="E77" s="232"/>
      <c r="F77" s="232"/>
      <c r="G77" s="232"/>
      <c r="H77" s="232"/>
      <c r="I77" s="233"/>
      <c r="J77" s="64"/>
    </row>
    <row r="78" spans="1:52" ht="15.75" thickBot="1">
      <c r="A78" s="494"/>
      <c r="B78" s="234"/>
      <c r="C78" s="234"/>
      <c r="D78" s="220">
        <f>(B78&gt;0)*$I$8</f>
        <v>0</v>
      </c>
      <c r="E78" s="221"/>
      <c r="F78" s="221"/>
      <c r="G78" s="221"/>
      <c r="H78" s="221"/>
      <c r="I78" s="222"/>
      <c r="J78" s="345" t="s">
        <v>20</v>
      </c>
      <c r="T78" s="97" t="s">
        <v>14</v>
      </c>
      <c r="U78" s="98" t="s">
        <v>27</v>
      </c>
      <c r="V78" s="98" t="s">
        <v>28</v>
      </c>
      <c r="W78" s="98" t="s">
        <v>27</v>
      </c>
      <c r="X78" s="98" t="s">
        <v>28</v>
      </c>
      <c r="Y78" s="98" t="s">
        <v>29</v>
      </c>
      <c r="Z78" s="66" t="s">
        <v>30</v>
      </c>
      <c r="AA78" s="153" t="s">
        <v>31</v>
      </c>
      <c r="AB78" s="153"/>
      <c r="AC78" s="153"/>
      <c r="AD78" s="154" t="s">
        <v>83</v>
      </c>
      <c r="AE78" s="100" t="s">
        <v>83</v>
      </c>
      <c r="AF78" s="100" t="s">
        <v>83</v>
      </c>
      <c r="AG78" s="100" t="s">
        <v>33</v>
      </c>
      <c r="AH78" s="100" t="s">
        <v>34</v>
      </c>
      <c r="AI78" s="98" t="s">
        <v>32</v>
      </c>
      <c r="AJ78" s="98" t="s">
        <v>32</v>
      </c>
      <c r="AK78" s="98" t="s">
        <v>49</v>
      </c>
      <c r="AL78" s="101" t="s">
        <v>36</v>
      </c>
      <c r="AO78" s="97" t="str">
        <f>informatieblad!$A$6</f>
        <v>FL20</v>
      </c>
      <c r="AP78" s="97" t="str">
        <f>informatieblad!$A$7</f>
        <v>FL30</v>
      </c>
      <c r="AQ78" s="99" t="str">
        <f>informatieblad!$A$8</f>
        <v>FL40</v>
      </c>
      <c r="AR78" s="266" t="str">
        <f>informatieblad!$A$5</f>
        <v>none</v>
      </c>
      <c r="AS78" s="64"/>
      <c r="AT78" s="266" t="s">
        <v>17</v>
      </c>
      <c r="AU78" s="64"/>
      <c r="AV78" s="266" t="s">
        <v>37</v>
      </c>
      <c r="AW78" s="64"/>
      <c r="AX78" s="269" t="s">
        <v>38</v>
      </c>
      <c r="AY78" s="272">
        <f>informatieblad!$B$3</f>
        <v>0</v>
      </c>
      <c r="AZ78" s="264">
        <f>informatieblad!$B$4</f>
        <v>0</v>
      </c>
    </row>
    <row r="79" spans="1:52">
      <c r="A79" s="475"/>
      <c r="B79" s="496" t="str">
        <f>IF($C80&gt;0,IF(MAX(B78,C78)&lt;informatieblad!$Q$4,informatieblad!$P$3,IF(MAX(B78,C78)&gt;informatieblad!$R$4,informatieblad!$P$5,informatieblad!$P$4)),"")</f>
        <v/>
      </c>
      <c r="C79" s="497"/>
      <c r="D79" s="223"/>
      <c r="E79" s="223"/>
      <c r="F79" s="224" t="str">
        <f>A78&amp;"-"&amp;informatieblad!$B$17&amp;"-"&amp;B78&amp;"-"&amp;C78&amp;"-"&amp;D78&amp;"-"&amp;B79&amp;"-"&amp;F80</f>
        <v>-RctE---0--Options None</v>
      </c>
      <c r="G79" s="235"/>
      <c r="H79" s="235"/>
      <c r="I79" s="236"/>
      <c r="J79" s="83"/>
      <c r="T79" s="103">
        <f>A78</f>
        <v>0</v>
      </c>
      <c r="U79" s="104" t="s">
        <v>39</v>
      </c>
      <c r="V79" s="104" t="s">
        <v>39</v>
      </c>
      <c r="W79" s="104" t="s">
        <v>40</v>
      </c>
      <c r="X79" s="104" t="s">
        <v>40</v>
      </c>
      <c r="Y79" s="104" t="s">
        <v>40</v>
      </c>
      <c r="Z79" s="105"/>
      <c r="AA79" s="155" t="s">
        <v>27</v>
      </c>
      <c r="AB79" s="155" t="s">
        <v>40</v>
      </c>
      <c r="AC79" s="155" t="s">
        <v>41</v>
      </c>
      <c r="AD79" s="156" t="s">
        <v>107</v>
      </c>
      <c r="AE79" s="104" t="s">
        <v>108</v>
      </c>
      <c r="AF79" s="107" t="s">
        <v>91</v>
      </c>
      <c r="AG79" s="107" t="s">
        <v>44</v>
      </c>
      <c r="AH79" s="107"/>
      <c r="AI79" s="104" t="s">
        <v>40</v>
      </c>
      <c r="AJ79" s="104" t="s">
        <v>41</v>
      </c>
      <c r="AK79" s="108"/>
      <c r="AL79" s="109"/>
      <c r="AO79" s="262" t="str">
        <f>informatieblad!$A$2</f>
        <v>FL20 loose</v>
      </c>
      <c r="AP79" s="262" t="str">
        <f>informatieblad!$A$3</f>
        <v>FL30 loose</v>
      </c>
      <c r="AQ79" s="263" t="str">
        <f>informatieblad!$A$4</f>
        <v>FL40 loose</v>
      </c>
      <c r="AR79" s="282"/>
      <c r="AS79" s="64"/>
      <c r="AT79" s="267"/>
      <c r="AU79" s="64"/>
      <c r="AV79" s="267"/>
      <c r="AW79" s="64"/>
      <c r="AX79" s="265" t="s">
        <v>47</v>
      </c>
      <c r="AY79" s="83" t="s">
        <v>23</v>
      </c>
      <c r="AZ79" s="273" t="s">
        <v>23</v>
      </c>
    </row>
    <row r="80" spans="1:52" ht="15.75" thickBot="1">
      <c r="A80" s="495"/>
      <c r="B80" s="227" t="s">
        <v>23</v>
      </c>
      <c r="C80" s="237"/>
      <c r="D80" s="229">
        <f>C80*V80</f>
        <v>0</v>
      </c>
      <c r="E80" s="230" t="s">
        <v>24</v>
      </c>
      <c r="F80" s="498" t="s">
        <v>25</v>
      </c>
      <c r="G80" s="452"/>
      <c r="H80" s="452"/>
      <c r="I80" s="453"/>
      <c r="J80" s="176"/>
      <c r="T80" s="111"/>
      <c r="U80" s="112">
        <f>(((((B78+C78))*D78)+(B78*C78))/1000000)</f>
        <v>0</v>
      </c>
      <c r="V80" s="112">
        <f>((IF(U80&lt;=informatieblad!$I$17,informatieblad!$I$17,IF(U80&gt;=informatieblad!$I$17,U80))))</f>
        <v>0.5</v>
      </c>
      <c r="W80" s="112">
        <f>(B78*C78)/1000000</f>
        <v>0</v>
      </c>
      <c r="X80" s="112">
        <f>((IF(W80&lt;=informatieblad!$H$17,informatieblad!$H$17,IF(W80&gt;=informatieblad!$H$17,W80))))</f>
        <v>0</v>
      </c>
      <c r="Y80" s="113">
        <f>((X80*AI80)+(X80*AB80))*C80</f>
        <v>0</v>
      </c>
      <c r="Z80" s="114">
        <f>((V80*AJ80)+(V80*AC80))*C80</f>
        <v>0</v>
      </c>
      <c r="AA80" s="115" t="str">
        <f>F80</f>
        <v>Options None</v>
      </c>
      <c r="AB80" s="115">
        <f>VLOOKUP(F80,informatieblad!$A$37:$D$41,2,FALSE)</f>
        <v>0</v>
      </c>
      <c r="AC80" s="115">
        <f>VLOOKUP(F80,informatieblad!$A$37:$D$41,4,FALSE)</f>
        <v>0</v>
      </c>
      <c r="AD80" s="180">
        <f>(MAX(K78,L78))</f>
        <v>0</v>
      </c>
      <c r="AE80" s="119">
        <f>(MAX(M78,N78))</f>
        <v>0</v>
      </c>
      <c r="AF80" s="119">
        <f>(MAX(K78,M78))</f>
        <v>0</v>
      </c>
      <c r="AG80" s="119">
        <f>(MAX(B78:C78))</f>
        <v>0</v>
      </c>
      <c r="AH80" s="119">
        <f>LOOKUP(AG80,informatieblad!$C$27:$C$32,informatieblad!$A$27:$A$32)</f>
        <v>0.5</v>
      </c>
      <c r="AI80" s="118">
        <f>VLOOKUP(AH80,informatieblad!$A$27:$M$32,6,FALSE)</f>
        <v>0</v>
      </c>
      <c r="AJ80" s="118">
        <f>VLOOKUP(AH80,informatieblad!$A$27:$M$32,8,FALSE)</f>
        <v>45.1248</v>
      </c>
      <c r="AK80" s="120">
        <f>VLOOKUP(AH80,informatieblad!$A$27:$M$32,13,FALSE)</f>
        <v>4</v>
      </c>
      <c r="AL80" s="121">
        <f>ROUND((AK80*W80),1)</f>
        <v>0</v>
      </c>
      <c r="AO80" s="111">
        <f>(IF(B79=AO78,((2*B78)+(2*C78)),IF(B79=AO79,((2*B78)+(2*C78)),0)))*C80</f>
        <v>0</v>
      </c>
      <c r="AP80" s="111">
        <f>(IF(B79=AP78,((2*B78)+(2*C78)),IF(B79=AP79,((2*B78)+(2*C78)),0)))*C80</f>
        <v>0</v>
      </c>
      <c r="AQ80" s="261">
        <f>(IF(B79=AQ78,((2*B78)+(2*C78)),IF(B79=AQ79,((2*B78)+(2*C78)),0)))*C80</f>
        <v>0</v>
      </c>
      <c r="AR80" s="283">
        <f>(IF(B79=AR78,((2*B78)+(2*C78)),0))*C80</f>
        <v>0</v>
      </c>
      <c r="AS80" s="64"/>
      <c r="AT80" s="268">
        <f>D78*C80</f>
        <v>0</v>
      </c>
      <c r="AU80" s="64"/>
      <c r="AV80" s="268">
        <f>(AG80+100)*C80</f>
        <v>0</v>
      </c>
      <c r="AW80" s="64"/>
      <c r="AX80" s="111" t="str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/>
      </c>
      <c r="AY80" s="276">
        <f>IF(AX80=AY78,(4*C80),0)</f>
        <v>0</v>
      </c>
      <c r="AZ80" s="274">
        <f>IF(AX80=AZ78,(4*C80),0)</f>
        <v>0</v>
      </c>
    </row>
    <row r="81" spans="1:52" ht="5.0999999999999996" customHeight="1" thickBot="1">
      <c r="A81" s="231"/>
      <c r="B81" s="232"/>
      <c r="C81" s="232"/>
      <c r="D81" s="232"/>
      <c r="E81" s="232"/>
      <c r="F81" s="232"/>
      <c r="G81" s="232"/>
      <c r="H81" s="232"/>
      <c r="I81" s="233"/>
      <c r="J81" s="64"/>
    </row>
    <row r="82" spans="1:52" ht="15.75" thickBot="1">
      <c r="A82" s="494"/>
      <c r="B82" s="234"/>
      <c r="C82" s="234"/>
      <c r="D82" s="220">
        <f>(B82&gt;0)*$I$8</f>
        <v>0</v>
      </c>
      <c r="E82" s="221"/>
      <c r="F82" s="221"/>
      <c r="G82" s="221"/>
      <c r="H82" s="221"/>
      <c r="I82" s="222"/>
      <c r="J82" s="345" t="s">
        <v>20</v>
      </c>
      <c r="T82" s="97" t="s">
        <v>14</v>
      </c>
      <c r="U82" s="98" t="s">
        <v>27</v>
      </c>
      <c r="V82" s="98" t="s">
        <v>28</v>
      </c>
      <c r="W82" s="98" t="s">
        <v>27</v>
      </c>
      <c r="X82" s="98" t="s">
        <v>28</v>
      </c>
      <c r="Y82" s="98" t="s">
        <v>29</v>
      </c>
      <c r="Z82" s="66" t="s">
        <v>30</v>
      </c>
      <c r="AA82" s="153" t="s">
        <v>31</v>
      </c>
      <c r="AB82" s="153"/>
      <c r="AC82" s="153"/>
      <c r="AD82" s="154" t="s">
        <v>83</v>
      </c>
      <c r="AE82" s="100" t="s">
        <v>83</v>
      </c>
      <c r="AF82" s="100" t="s">
        <v>83</v>
      </c>
      <c r="AG82" s="100" t="s">
        <v>33</v>
      </c>
      <c r="AH82" s="100" t="s">
        <v>34</v>
      </c>
      <c r="AI82" s="98" t="s">
        <v>32</v>
      </c>
      <c r="AJ82" s="98" t="s">
        <v>32</v>
      </c>
      <c r="AK82" s="98" t="s">
        <v>49</v>
      </c>
      <c r="AL82" s="101" t="s">
        <v>36</v>
      </c>
      <c r="AO82" s="97" t="str">
        <f>informatieblad!$A$6</f>
        <v>FL20</v>
      </c>
      <c r="AP82" s="97" t="str">
        <f>informatieblad!$A$7</f>
        <v>FL30</v>
      </c>
      <c r="AQ82" s="99" t="str">
        <f>informatieblad!$A$8</f>
        <v>FL40</v>
      </c>
      <c r="AR82" s="266" t="str">
        <f>informatieblad!$A$5</f>
        <v>none</v>
      </c>
      <c r="AS82" s="64"/>
      <c r="AT82" s="266" t="s">
        <v>17</v>
      </c>
      <c r="AU82" s="64"/>
      <c r="AV82" s="266" t="s">
        <v>37</v>
      </c>
      <c r="AW82" s="64"/>
      <c r="AX82" s="269" t="s">
        <v>38</v>
      </c>
      <c r="AY82" s="272">
        <f>informatieblad!$B$3</f>
        <v>0</v>
      </c>
      <c r="AZ82" s="264">
        <f>informatieblad!$B$4</f>
        <v>0</v>
      </c>
    </row>
    <row r="83" spans="1:52">
      <c r="A83" s="475"/>
      <c r="B83" s="496" t="str">
        <f>IF($C84&gt;0,IF(MAX(B82,C82)&lt;informatieblad!$Q$4,informatieblad!$P$3,IF(MAX(B82,C82)&gt;informatieblad!$R$4,informatieblad!$P$5,informatieblad!$P$4)),"")</f>
        <v/>
      </c>
      <c r="C83" s="497"/>
      <c r="D83" s="223"/>
      <c r="E83" s="223"/>
      <c r="F83" s="224" t="str">
        <f>A82&amp;"-"&amp;informatieblad!$B$17&amp;"-"&amp;B82&amp;"-"&amp;C82&amp;"-"&amp;D82&amp;"-"&amp;B83&amp;"-"&amp;F84</f>
        <v>-RctE---0--Options None</v>
      </c>
      <c r="G83" s="235"/>
      <c r="H83" s="235"/>
      <c r="I83" s="236"/>
      <c r="J83" s="83"/>
      <c r="T83" s="103">
        <f>A82</f>
        <v>0</v>
      </c>
      <c r="U83" s="104" t="s">
        <v>39</v>
      </c>
      <c r="V83" s="104" t="s">
        <v>39</v>
      </c>
      <c r="W83" s="104" t="s">
        <v>40</v>
      </c>
      <c r="X83" s="104" t="s">
        <v>40</v>
      </c>
      <c r="Y83" s="104" t="s">
        <v>40</v>
      </c>
      <c r="Z83" s="105"/>
      <c r="AA83" s="155" t="s">
        <v>27</v>
      </c>
      <c r="AB83" s="155" t="s">
        <v>40</v>
      </c>
      <c r="AC83" s="155" t="s">
        <v>41</v>
      </c>
      <c r="AD83" s="156" t="s">
        <v>107</v>
      </c>
      <c r="AE83" s="104" t="s">
        <v>108</v>
      </c>
      <c r="AF83" s="107" t="s">
        <v>91</v>
      </c>
      <c r="AG83" s="107" t="s">
        <v>44</v>
      </c>
      <c r="AH83" s="107"/>
      <c r="AI83" s="104" t="s">
        <v>40</v>
      </c>
      <c r="AJ83" s="104" t="s">
        <v>41</v>
      </c>
      <c r="AK83" s="108"/>
      <c r="AL83" s="109"/>
      <c r="AO83" s="262" t="str">
        <f>informatieblad!$A$2</f>
        <v>FL20 loose</v>
      </c>
      <c r="AP83" s="262" t="str">
        <f>informatieblad!$A$3</f>
        <v>FL30 loose</v>
      </c>
      <c r="AQ83" s="263" t="str">
        <f>informatieblad!$A$4</f>
        <v>FL40 loose</v>
      </c>
      <c r="AR83" s="282"/>
      <c r="AS83" s="64"/>
      <c r="AT83" s="267"/>
      <c r="AU83" s="64"/>
      <c r="AV83" s="267"/>
      <c r="AW83" s="64"/>
      <c r="AX83" s="265" t="s">
        <v>47</v>
      </c>
      <c r="AY83" s="83" t="s">
        <v>23</v>
      </c>
      <c r="AZ83" s="273" t="s">
        <v>23</v>
      </c>
    </row>
    <row r="84" spans="1:52" ht="15.75" thickBot="1">
      <c r="A84" s="495"/>
      <c r="B84" s="227" t="s">
        <v>23</v>
      </c>
      <c r="C84" s="237"/>
      <c r="D84" s="229">
        <f>C84*V84</f>
        <v>0</v>
      </c>
      <c r="E84" s="230" t="s">
        <v>24</v>
      </c>
      <c r="F84" s="498" t="s">
        <v>25</v>
      </c>
      <c r="G84" s="452"/>
      <c r="H84" s="452"/>
      <c r="I84" s="453"/>
      <c r="J84" s="176"/>
      <c r="T84" s="111"/>
      <c r="U84" s="112">
        <f>(((((B82+C82))*D82)+(B82*C82))/1000000)</f>
        <v>0</v>
      </c>
      <c r="V84" s="112">
        <f>((IF(U84&lt;=informatieblad!$I$17,informatieblad!$I$17,IF(U84&gt;=informatieblad!$I$17,U84))))</f>
        <v>0.5</v>
      </c>
      <c r="W84" s="112">
        <f>(B82*C82)/1000000</f>
        <v>0</v>
      </c>
      <c r="X84" s="112">
        <f>((IF(W84&lt;=informatieblad!$H$17,informatieblad!$H$17,IF(W84&gt;=informatieblad!$H$17,W84))))</f>
        <v>0</v>
      </c>
      <c r="Y84" s="113">
        <f>((X84*AI84)+(X84*AB84))*C84</f>
        <v>0</v>
      </c>
      <c r="Z84" s="114">
        <f>((V84*AJ84)+(V84*AC84))*C84</f>
        <v>0</v>
      </c>
      <c r="AA84" s="115" t="str">
        <f>F84</f>
        <v>Options None</v>
      </c>
      <c r="AB84" s="115">
        <f>VLOOKUP(F84,informatieblad!$A$37:$D$41,2,FALSE)</f>
        <v>0</v>
      </c>
      <c r="AC84" s="115">
        <f>VLOOKUP(F84,informatieblad!$A$37:$D$41,4,FALSE)</f>
        <v>0</v>
      </c>
      <c r="AD84" s="180">
        <f>(MAX(K82,L82))</f>
        <v>0</v>
      </c>
      <c r="AE84" s="119">
        <f>(MAX(M82,N82))</f>
        <v>0</v>
      </c>
      <c r="AF84" s="119">
        <f>(MAX(K82,M82))</f>
        <v>0</v>
      </c>
      <c r="AG84" s="119">
        <f>(MAX(B82:C82))</f>
        <v>0</v>
      </c>
      <c r="AH84" s="119">
        <f>LOOKUP(AG84,informatieblad!$C$27:$C$32,informatieblad!$A$27:$A$32)</f>
        <v>0.5</v>
      </c>
      <c r="AI84" s="118">
        <f>VLOOKUP(AH84,informatieblad!$A$27:$M$32,6,FALSE)</f>
        <v>0</v>
      </c>
      <c r="AJ84" s="118">
        <f>VLOOKUP(AH84,informatieblad!$A$27:$M$32,8,FALSE)</f>
        <v>45.1248</v>
      </c>
      <c r="AK84" s="120">
        <f>VLOOKUP(AH84,informatieblad!$A$27:$M$32,13,FALSE)</f>
        <v>4</v>
      </c>
      <c r="AL84" s="121">
        <f>ROUND((AK84*W84),1)</f>
        <v>0</v>
      </c>
      <c r="AO84" s="111">
        <f>(IF(B83=AO82,((2*B82)+(2*C82)),IF(B83=AO83,((2*B82)+(2*C82)),0)))*C84</f>
        <v>0</v>
      </c>
      <c r="AP84" s="111">
        <f>(IF(B83=AP82,((2*B82)+(2*C82)),IF(B83=AP83,((2*B82)+(2*C82)),0)))*C84</f>
        <v>0</v>
      </c>
      <c r="AQ84" s="261">
        <f>(IF(B83=AQ82,((2*B82)+(2*C82)),IF(B83=AQ83,((2*B82)+(2*C82)),0)))*C84</f>
        <v>0</v>
      </c>
      <c r="AR84" s="283">
        <f>(IF(B83=AR82,((2*B82)+(2*C82)),0))*C84</f>
        <v>0</v>
      </c>
      <c r="AS84" s="64"/>
      <c r="AT84" s="268">
        <f>D82*C84</f>
        <v>0</v>
      </c>
      <c r="AU84" s="64"/>
      <c r="AV84" s="268">
        <f>(AG84+100)*C84</f>
        <v>0</v>
      </c>
      <c r="AW84" s="64"/>
      <c r="AX84" s="111" t="str">
        <f>IF(B83=informatieblad!$A$6,informatieblad!$B$6,IF(B83=informatieblad!$A$7,informatieblad!$B$7,IF(B83=informatieblad!$A$8,informatieblad!$B$8,IF(B83=informatieblad!$A$2,informatieblad!$B$2,IF(B83=informatieblad!$A$3,informatieblad!$B$3,IF(B83=informatieblad!$A$4,informatieblad!$B$4,IF(B83=informatieblad!$A$5,informatieblad!$B$5,"")))))))</f>
        <v/>
      </c>
      <c r="AY84" s="276">
        <f>IF(AX84=AY82,(4*C84),0)</f>
        <v>0</v>
      </c>
      <c r="AZ84" s="274">
        <f>IF(AX84=AZ82,(4*C84),0)</f>
        <v>0</v>
      </c>
    </row>
    <row r="85" spans="1:52" ht="5.0999999999999996" customHeight="1" thickBot="1">
      <c r="A85" s="231"/>
      <c r="B85" s="232"/>
      <c r="C85" s="232"/>
      <c r="D85" s="232"/>
      <c r="E85" s="232"/>
      <c r="F85" s="232"/>
      <c r="G85" s="232"/>
      <c r="H85" s="232"/>
      <c r="I85" s="233"/>
      <c r="J85" s="64"/>
    </row>
    <row r="86" spans="1:52" ht="15.75" thickBot="1">
      <c r="A86" s="494"/>
      <c r="B86" s="234"/>
      <c r="C86" s="234"/>
      <c r="D86" s="220">
        <f>(B86&gt;0)*$I$8</f>
        <v>0</v>
      </c>
      <c r="E86" s="221"/>
      <c r="F86" s="221"/>
      <c r="G86" s="221"/>
      <c r="H86" s="221"/>
      <c r="I86" s="222"/>
      <c r="J86" s="345" t="s">
        <v>20</v>
      </c>
      <c r="T86" s="97" t="s">
        <v>14</v>
      </c>
      <c r="U86" s="98" t="s">
        <v>27</v>
      </c>
      <c r="V86" s="98" t="s">
        <v>28</v>
      </c>
      <c r="W86" s="98" t="s">
        <v>27</v>
      </c>
      <c r="X86" s="98" t="s">
        <v>28</v>
      </c>
      <c r="Y86" s="98" t="s">
        <v>29</v>
      </c>
      <c r="Z86" s="66" t="s">
        <v>30</v>
      </c>
      <c r="AA86" s="153" t="s">
        <v>31</v>
      </c>
      <c r="AB86" s="153"/>
      <c r="AC86" s="153"/>
      <c r="AD86" s="154" t="s">
        <v>83</v>
      </c>
      <c r="AE86" s="100" t="s">
        <v>83</v>
      </c>
      <c r="AF86" s="100" t="s">
        <v>83</v>
      </c>
      <c r="AG86" s="100" t="s">
        <v>33</v>
      </c>
      <c r="AH86" s="100" t="s">
        <v>34</v>
      </c>
      <c r="AI86" s="98" t="s">
        <v>32</v>
      </c>
      <c r="AJ86" s="98" t="s">
        <v>32</v>
      </c>
      <c r="AK86" s="98" t="s">
        <v>49</v>
      </c>
      <c r="AL86" s="101" t="s">
        <v>36</v>
      </c>
      <c r="AO86" s="97" t="str">
        <f>informatieblad!$A$6</f>
        <v>FL20</v>
      </c>
      <c r="AP86" s="97" t="str">
        <f>informatieblad!$A$7</f>
        <v>FL30</v>
      </c>
      <c r="AQ86" s="99" t="str">
        <f>informatieblad!$A$8</f>
        <v>FL40</v>
      </c>
      <c r="AR86" s="266" t="str">
        <f>informatieblad!$A$5</f>
        <v>none</v>
      </c>
      <c r="AS86" s="64"/>
      <c r="AT86" s="266" t="s">
        <v>17</v>
      </c>
      <c r="AU86" s="64"/>
      <c r="AV86" s="266" t="s">
        <v>37</v>
      </c>
      <c r="AW86" s="64"/>
      <c r="AX86" s="269" t="s">
        <v>38</v>
      </c>
      <c r="AY86" s="272">
        <f>informatieblad!$B$3</f>
        <v>0</v>
      </c>
      <c r="AZ86" s="264">
        <f>informatieblad!$B$4</f>
        <v>0</v>
      </c>
    </row>
    <row r="87" spans="1:52">
      <c r="A87" s="475"/>
      <c r="B87" s="496" t="str">
        <f>IF($C88&gt;0,IF(MAX(B86,C86)&lt;informatieblad!$Q$4,informatieblad!$P$3,IF(MAX(B86,C86)&gt;informatieblad!$R$4,informatieblad!$P$5,informatieblad!$P$4)),"")</f>
        <v/>
      </c>
      <c r="C87" s="497"/>
      <c r="D87" s="223"/>
      <c r="E87" s="223"/>
      <c r="F87" s="224" t="str">
        <f>A86&amp;"-"&amp;informatieblad!$B$17&amp;"-"&amp;B86&amp;"-"&amp;C86&amp;"-"&amp;D86&amp;"-"&amp;B87&amp;"-"&amp;F88</f>
        <v>-RctE---0--Options None</v>
      </c>
      <c r="G87" s="235"/>
      <c r="H87" s="235"/>
      <c r="I87" s="236"/>
      <c r="J87" s="83"/>
      <c r="T87" s="103">
        <f>A86</f>
        <v>0</v>
      </c>
      <c r="U87" s="104" t="s">
        <v>39</v>
      </c>
      <c r="V87" s="104" t="s">
        <v>39</v>
      </c>
      <c r="W87" s="104" t="s">
        <v>40</v>
      </c>
      <c r="X87" s="104" t="s">
        <v>40</v>
      </c>
      <c r="Y87" s="104" t="s">
        <v>40</v>
      </c>
      <c r="Z87" s="105"/>
      <c r="AA87" s="155" t="s">
        <v>27</v>
      </c>
      <c r="AB87" s="155" t="s">
        <v>40</v>
      </c>
      <c r="AC87" s="155" t="s">
        <v>41</v>
      </c>
      <c r="AD87" s="156" t="s">
        <v>107</v>
      </c>
      <c r="AE87" s="104" t="s">
        <v>108</v>
      </c>
      <c r="AF87" s="107" t="s">
        <v>91</v>
      </c>
      <c r="AG87" s="107" t="s">
        <v>44</v>
      </c>
      <c r="AH87" s="107"/>
      <c r="AI87" s="104" t="s">
        <v>40</v>
      </c>
      <c r="AJ87" s="104" t="s">
        <v>41</v>
      </c>
      <c r="AK87" s="108"/>
      <c r="AL87" s="109"/>
      <c r="AO87" s="262" t="str">
        <f>informatieblad!$A$2</f>
        <v>FL20 loose</v>
      </c>
      <c r="AP87" s="262" t="str">
        <f>informatieblad!$A$3</f>
        <v>FL30 loose</v>
      </c>
      <c r="AQ87" s="263" t="str">
        <f>informatieblad!$A$4</f>
        <v>FL40 loose</v>
      </c>
      <c r="AR87" s="282"/>
      <c r="AS87" s="64"/>
      <c r="AT87" s="267"/>
      <c r="AU87" s="64"/>
      <c r="AV87" s="267"/>
      <c r="AW87" s="64"/>
      <c r="AX87" s="265" t="s">
        <v>47</v>
      </c>
      <c r="AY87" s="83" t="s">
        <v>23</v>
      </c>
      <c r="AZ87" s="273" t="s">
        <v>23</v>
      </c>
    </row>
    <row r="88" spans="1:52" ht="15.75" thickBot="1">
      <c r="A88" s="495"/>
      <c r="B88" s="227" t="s">
        <v>23</v>
      </c>
      <c r="C88" s="237"/>
      <c r="D88" s="229">
        <f>C88*V88</f>
        <v>0</v>
      </c>
      <c r="E88" s="230" t="s">
        <v>24</v>
      </c>
      <c r="F88" s="498" t="s">
        <v>25</v>
      </c>
      <c r="G88" s="452"/>
      <c r="H88" s="452"/>
      <c r="I88" s="453"/>
      <c r="J88" s="176"/>
      <c r="T88" s="111"/>
      <c r="U88" s="112">
        <f>(((((B86+C86))*D86)+(B86*C86))/1000000)</f>
        <v>0</v>
      </c>
      <c r="V88" s="112">
        <f>((IF(U88&lt;=informatieblad!$I$17,informatieblad!$I$17,IF(U88&gt;=informatieblad!$I$17,U88))))</f>
        <v>0.5</v>
      </c>
      <c r="W88" s="112">
        <f>(B86*C86)/1000000</f>
        <v>0</v>
      </c>
      <c r="X88" s="112">
        <f>((IF(W88&lt;=informatieblad!$H$17,informatieblad!$H$17,IF(W88&gt;=informatieblad!$H$17,W88))))</f>
        <v>0</v>
      </c>
      <c r="Y88" s="113">
        <f>((X88*AI88)+(X88*AB88))*C88</f>
        <v>0</v>
      </c>
      <c r="Z88" s="114">
        <f>((V88*AJ88)+(V88*AC88))*C88</f>
        <v>0</v>
      </c>
      <c r="AA88" s="115" t="str">
        <f>F88</f>
        <v>Options None</v>
      </c>
      <c r="AB88" s="115">
        <f>VLOOKUP(F88,informatieblad!$A$37:$D$41,2,FALSE)</f>
        <v>0</v>
      </c>
      <c r="AC88" s="115">
        <f>VLOOKUP(F88,informatieblad!$A$37:$D$41,4,FALSE)</f>
        <v>0</v>
      </c>
      <c r="AD88" s="180">
        <f>(MAX(K86,L86))</f>
        <v>0</v>
      </c>
      <c r="AE88" s="119">
        <f>(MAX(M86,N86))</f>
        <v>0</v>
      </c>
      <c r="AF88" s="119">
        <f>(MAX(K86,M86))</f>
        <v>0</v>
      </c>
      <c r="AG88" s="119">
        <f>(MAX(B86:C86))</f>
        <v>0</v>
      </c>
      <c r="AH88" s="119">
        <f>LOOKUP(AG88,informatieblad!$C$27:$C$32,informatieblad!$A$27:$A$32)</f>
        <v>0.5</v>
      </c>
      <c r="AI88" s="118">
        <f>VLOOKUP(AH88,informatieblad!$A$27:$M$32,6,FALSE)</f>
        <v>0</v>
      </c>
      <c r="AJ88" s="118">
        <f>VLOOKUP(AH88,informatieblad!$A$27:$M$32,8,FALSE)</f>
        <v>45.1248</v>
      </c>
      <c r="AK88" s="120">
        <f>VLOOKUP(AH88,informatieblad!$A$27:$M$32,13,FALSE)</f>
        <v>4</v>
      </c>
      <c r="AL88" s="121">
        <f>ROUND((AK88*W88),1)</f>
        <v>0</v>
      </c>
      <c r="AO88" s="111">
        <f>(IF(B87=AO86,((2*B86)+(2*C86)),IF(B87=AO87,((2*B86)+(2*C86)),0)))*C88</f>
        <v>0</v>
      </c>
      <c r="AP88" s="111">
        <f>(IF(B87=AP86,((2*B86)+(2*C86)),IF(B87=AP87,((2*B86)+(2*C86)),0)))*C88</f>
        <v>0</v>
      </c>
      <c r="AQ88" s="261">
        <f>(IF(B87=AQ86,((2*B86)+(2*C86)),IF(B87=AQ87,((2*B86)+(2*C86)),0)))*C88</f>
        <v>0</v>
      </c>
      <c r="AR88" s="283">
        <f>(IF(B87=AR86,((2*B86)+(2*C86)),0))*C88</f>
        <v>0</v>
      </c>
      <c r="AS88" s="64"/>
      <c r="AT88" s="268">
        <f>D86*C88</f>
        <v>0</v>
      </c>
      <c r="AU88" s="64"/>
      <c r="AV88" s="268">
        <f>(AG88+100)*C88</f>
        <v>0</v>
      </c>
      <c r="AW88" s="64"/>
      <c r="AX88" s="111" t="str">
        <f>IF(B87=informatieblad!$A$6,informatieblad!$B$6,IF(B87=informatieblad!$A$7,informatieblad!$B$7,IF(B87=informatieblad!$A$8,informatieblad!$B$8,IF(B87=informatieblad!$A$2,informatieblad!$B$2,IF(B87=informatieblad!$A$3,informatieblad!$B$3,IF(B87=informatieblad!$A$4,informatieblad!$B$4,IF(B87=informatieblad!$A$5,informatieblad!$B$5,"")))))))</f>
        <v/>
      </c>
      <c r="AY88" s="276">
        <f>IF(AX88=AY86,(4*C88),0)</f>
        <v>0</v>
      </c>
      <c r="AZ88" s="274">
        <f>IF(AX88=AZ86,(4*C88),0)</f>
        <v>0</v>
      </c>
    </row>
    <row r="89" spans="1:52" ht="5.0999999999999996" customHeight="1" thickBot="1">
      <c r="A89" s="231"/>
      <c r="B89" s="232"/>
      <c r="C89" s="232"/>
      <c r="D89" s="232"/>
      <c r="E89" s="232"/>
      <c r="F89" s="232"/>
      <c r="G89" s="232"/>
      <c r="H89" s="232"/>
      <c r="I89" s="233"/>
      <c r="J89" s="64"/>
    </row>
    <row r="90" spans="1:52" ht="15.75" thickBot="1">
      <c r="A90" s="494"/>
      <c r="B90" s="234"/>
      <c r="C90" s="234"/>
      <c r="D90" s="220">
        <f>(B90&gt;0)*$I$8</f>
        <v>0</v>
      </c>
      <c r="E90" s="221"/>
      <c r="F90" s="221"/>
      <c r="G90" s="221"/>
      <c r="H90" s="221"/>
      <c r="I90" s="222"/>
      <c r="J90" s="345" t="s">
        <v>20</v>
      </c>
      <c r="T90" s="97" t="s">
        <v>14</v>
      </c>
      <c r="U90" s="98" t="s">
        <v>27</v>
      </c>
      <c r="V90" s="98" t="s">
        <v>28</v>
      </c>
      <c r="W90" s="98" t="s">
        <v>27</v>
      </c>
      <c r="X90" s="98" t="s">
        <v>28</v>
      </c>
      <c r="Y90" s="98" t="s">
        <v>29</v>
      </c>
      <c r="Z90" s="66" t="s">
        <v>30</v>
      </c>
      <c r="AA90" s="153" t="s">
        <v>31</v>
      </c>
      <c r="AB90" s="153"/>
      <c r="AC90" s="153"/>
      <c r="AD90" s="154" t="s">
        <v>83</v>
      </c>
      <c r="AE90" s="100" t="s">
        <v>83</v>
      </c>
      <c r="AF90" s="100" t="s">
        <v>83</v>
      </c>
      <c r="AG90" s="100" t="s">
        <v>33</v>
      </c>
      <c r="AH90" s="100" t="s">
        <v>34</v>
      </c>
      <c r="AI90" s="98" t="s">
        <v>32</v>
      </c>
      <c r="AJ90" s="98" t="s">
        <v>32</v>
      </c>
      <c r="AK90" s="98" t="s">
        <v>49</v>
      </c>
      <c r="AL90" s="101" t="s">
        <v>36</v>
      </c>
      <c r="AO90" s="97" t="str">
        <f>informatieblad!$A$6</f>
        <v>FL20</v>
      </c>
      <c r="AP90" s="97" t="str">
        <f>informatieblad!$A$7</f>
        <v>FL30</v>
      </c>
      <c r="AQ90" s="99" t="str">
        <f>informatieblad!$A$8</f>
        <v>FL40</v>
      </c>
      <c r="AR90" s="266" t="str">
        <f>informatieblad!$A$5</f>
        <v>none</v>
      </c>
      <c r="AS90" s="64"/>
      <c r="AT90" s="266" t="s">
        <v>17</v>
      </c>
      <c r="AU90" s="64"/>
      <c r="AV90" s="266" t="s">
        <v>37</v>
      </c>
      <c r="AW90" s="64"/>
      <c r="AX90" s="269" t="s">
        <v>38</v>
      </c>
      <c r="AY90" s="272">
        <f>informatieblad!$B$3</f>
        <v>0</v>
      </c>
      <c r="AZ90" s="264">
        <f>informatieblad!$B$4</f>
        <v>0</v>
      </c>
    </row>
    <row r="91" spans="1:52">
      <c r="A91" s="475"/>
      <c r="B91" s="496" t="str">
        <f>IF($C92&gt;0,IF(MAX(B90,C90)&lt;informatieblad!$Q$4,informatieblad!$P$3,IF(MAX(B90,C90)&gt;informatieblad!$R$4,informatieblad!$P$5,informatieblad!$P$4)),"")</f>
        <v/>
      </c>
      <c r="C91" s="497"/>
      <c r="D91" s="223"/>
      <c r="E91" s="223"/>
      <c r="F91" s="224" t="str">
        <f>A90&amp;"-"&amp;informatieblad!$B$17&amp;"-"&amp;B90&amp;"-"&amp;C90&amp;"-"&amp;D90&amp;"-"&amp;B91&amp;"-"&amp;F92</f>
        <v>-RctE---0--Options None</v>
      </c>
      <c r="G91" s="235"/>
      <c r="H91" s="235"/>
      <c r="I91" s="236"/>
      <c r="J91" s="83"/>
      <c r="T91" s="103">
        <f>A90</f>
        <v>0</v>
      </c>
      <c r="U91" s="104" t="s">
        <v>39</v>
      </c>
      <c r="V91" s="104" t="s">
        <v>39</v>
      </c>
      <c r="W91" s="104" t="s">
        <v>40</v>
      </c>
      <c r="X91" s="104" t="s">
        <v>40</v>
      </c>
      <c r="Y91" s="104" t="s">
        <v>40</v>
      </c>
      <c r="Z91" s="105"/>
      <c r="AA91" s="155" t="s">
        <v>27</v>
      </c>
      <c r="AB91" s="155" t="s">
        <v>40</v>
      </c>
      <c r="AC91" s="155" t="s">
        <v>41</v>
      </c>
      <c r="AD91" s="156" t="s">
        <v>107</v>
      </c>
      <c r="AE91" s="104" t="s">
        <v>108</v>
      </c>
      <c r="AF91" s="107" t="s">
        <v>91</v>
      </c>
      <c r="AG91" s="107" t="s">
        <v>44</v>
      </c>
      <c r="AH91" s="107"/>
      <c r="AI91" s="104" t="s">
        <v>40</v>
      </c>
      <c r="AJ91" s="104" t="s">
        <v>41</v>
      </c>
      <c r="AK91" s="108"/>
      <c r="AL91" s="109"/>
      <c r="AO91" s="262" t="str">
        <f>informatieblad!$A$2</f>
        <v>FL20 loose</v>
      </c>
      <c r="AP91" s="262" t="str">
        <f>informatieblad!$A$3</f>
        <v>FL30 loose</v>
      </c>
      <c r="AQ91" s="263" t="str">
        <f>informatieblad!$A$4</f>
        <v>FL40 loose</v>
      </c>
      <c r="AR91" s="282"/>
      <c r="AS91" s="64"/>
      <c r="AT91" s="267"/>
      <c r="AU91" s="64"/>
      <c r="AV91" s="267"/>
      <c r="AW91" s="64"/>
      <c r="AX91" s="265" t="s">
        <v>47</v>
      </c>
      <c r="AY91" s="83" t="s">
        <v>23</v>
      </c>
      <c r="AZ91" s="273" t="s">
        <v>23</v>
      </c>
    </row>
    <row r="92" spans="1:52" ht="15.75" thickBot="1">
      <c r="A92" s="495"/>
      <c r="B92" s="227" t="s">
        <v>23</v>
      </c>
      <c r="C92" s="237"/>
      <c r="D92" s="229">
        <f>C92*V92</f>
        <v>0</v>
      </c>
      <c r="E92" s="230" t="s">
        <v>24</v>
      </c>
      <c r="F92" s="498" t="s">
        <v>25</v>
      </c>
      <c r="G92" s="452"/>
      <c r="H92" s="452"/>
      <c r="I92" s="453"/>
      <c r="J92" s="176"/>
      <c r="T92" s="111"/>
      <c r="U92" s="112">
        <f>(((((B90+C90))*D90)+(B90*C90))/1000000)</f>
        <v>0</v>
      </c>
      <c r="V92" s="112">
        <f>((IF(U92&lt;=informatieblad!$I$17,informatieblad!$I$17,IF(U92&gt;=informatieblad!$I$17,U92))))</f>
        <v>0.5</v>
      </c>
      <c r="W92" s="112">
        <f>(B90*C90)/1000000</f>
        <v>0</v>
      </c>
      <c r="X92" s="112">
        <f>((IF(W92&lt;=informatieblad!$H$17,informatieblad!$H$17,IF(W92&gt;=informatieblad!$H$17,W92))))</f>
        <v>0</v>
      </c>
      <c r="Y92" s="113">
        <f>((X92*AI92)+(X92*AB92))*C92</f>
        <v>0</v>
      </c>
      <c r="Z92" s="114">
        <f>((V92*AJ92)+(V92*AC92))*C92</f>
        <v>0</v>
      </c>
      <c r="AA92" s="115" t="str">
        <f>F92</f>
        <v>Options None</v>
      </c>
      <c r="AB92" s="115">
        <f>VLOOKUP(F92,informatieblad!$A$37:$D$41,2,FALSE)</f>
        <v>0</v>
      </c>
      <c r="AC92" s="115">
        <f>VLOOKUP(F92,informatieblad!$A$37:$D$41,4,FALSE)</f>
        <v>0</v>
      </c>
      <c r="AD92" s="180">
        <f>(MAX(K90,L90))</f>
        <v>0</v>
      </c>
      <c r="AE92" s="119">
        <f>(MAX(M90,N90))</f>
        <v>0</v>
      </c>
      <c r="AF92" s="119">
        <f>(MAX(K90,M90))</f>
        <v>0</v>
      </c>
      <c r="AG92" s="119">
        <f>(MAX(B90:C90))</f>
        <v>0</v>
      </c>
      <c r="AH92" s="119">
        <f>LOOKUP(AG92,informatieblad!$C$27:$C$32,informatieblad!$A$27:$A$32)</f>
        <v>0.5</v>
      </c>
      <c r="AI92" s="118">
        <f>VLOOKUP(AH92,informatieblad!$A$27:$M$32,6,FALSE)</f>
        <v>0</v>
      </c>
      <c r="AJ92" s="118">
        <f>VLOOKUP(AH92,informatieblad!$A$27:$M$32,8,FALSE)</f>
        <v>45.1248</v>
      </c>
      <c r="AK92" s="120">
        <f>VLOOKUP(AH92,informatieblad!$A$27:$M$32,13,FALSE)</f>
        <v>4</v>
      </c>
      <c r="AL92" s="121">
        <f>ROUND((AK92*W92),1)</f>
        <v>0</v>
      </c>
      <c r="AO92" s="111">
        <f>(IF(B91=AO90,((2*B90)+(2*C90)),IF(B91=AO91,((2*B90)+(2*C90)),0)))*C92</f>
        <v>0</v>
      </c>
      <c r="AP92" s="111">
        <f>(IF(B91=AP90,((2*B90)+(2*C90)),IF(B91=AP91,((2*B90)+(2*C90)),0)))*C92</f>
        <v>0</v>
      </c>
      <c r="AQ92" s="261">
        <f>(IF(B91=AQ90,((2*B90)+(2*C90)),IF(B91=AQ91,((2*B90)+(2*C90)),0)))*C92</f>
        <v>0</v>
      </c>
      <c r="AR92" s="283">
        <f>(IF(B91=AR90,((2*B90)+(2*C90)),0))*C92</f>
        <v>0</v>
      </c>
      <c r="AS92" s="64"/>
      <c r="AT92" s="268">
        <f>D90*C92</f>
        <v>0</v>
      </c>
      <c r="AU92" s="64"/>
      <c r="AV92" s="268">
        <f>(AG92+100)*C92</f>
        <v>0</v>
      </c>
      <c r="AW92" s="64"/>
      <c r="AX92" s="111" t="str">
        <f>IF(B91=informatieblad!$A$6,informatieblad!$B$6,IF(B91=informatieblad!$A$7,informatieblad!$B$7,IF(B91=informatieblad!$A$8,informatieblad!$B$8,IF(B91=informatieblad!$A$2,informatieblad!$B$2,IF(B91=informatieblad!$A$3,informatieblad!$B$3,IF(B91=informatieblad!$A$4,informatieblad!$B$4,IF(B91=informatieblad!$A$5,informatieblad!$B$5,"")))))))</f>
        <v/>
      </c>
      <c r="AY92" s="276">
        <f>IF(AX92=AY90,(4*C92),0)</f>
        <v>0</v>
      </c>
      <c r="AZ92" s="274">
        <f>IF(AX92=AZ90,(4*C92),0)</f>
        <v>0</v>
      </c>
    </row>
    <row r="93" spans="1:52" ht="5.0999999999999996" customHeight="1" thickBot="1">
      <c r="A93" s="231"/>
      <c r="B93" s="232"/>
      <c r="C93" s="232"/>
      <c r="D93" s="232"/>
      <c r="E93" s="232"/>
      <c r="F93" s="232"/>
      <c r="G93" s="232"/>
      <c r="H93" s="232"/>
      <c r="I93" s="233"/>
      <c r="J93" s="64"/>
    </row>
    <row r="94" spans="1:52" ht="15.75" thickBot="1">
      <c r="A94" s="494"/>
      <c r="B94" s="234"/>
      <c r="C94" s="234"/>
      <c r="D94" s="220">
        <f>(B94&gt;0)*$I$8</f>
        <v>0</v>
      </c>
      <c r="E94" s="221"/>
      <c r="F94" s="221"/>
      <c r="G94" s="221"/>
      <c r="H94" s="221"/>
      <c r="I94" s="222"/>
      <c r="J94" s="345" t="s">
        <v>20</v>
      </c>
      <c r="T94" s="97" t="s">
        <v>14</v>
      </c>
      <c r="U94" s="98" t="s">
        <v>27</v>
      </c>
      <c r="V94" s="98" t="s">
        <v>28</v>
      </c>
      <c r="W94" s="98" t="s">
        <v>27</v>
      </c>
      <c r="X94" s="98" t="s">
        <v>28</v>
      </c>
      <c r="Y94" s="98" t="s">
        <v>29</v>
      </c>
      <c r="Z94" s="66" t="s">
        <v>30</v>
      </c>
      <c r="AA94" s="153" t="s">
        <v>31</v>
      </c>
      <c r="AB94" s="153"/>
      <c r="AC94" s="153"/>
      <c r="AD94" s="154" t="s">
        <v>83</v>
      </c>
      <c r="AE94" s="100" t="s">
        <v>83</v>
      </c>
      <c r="AF94" s="100" t="s">
        <v>83</v>
      </c>
      <c r="AG94" s="100" t="s">
        <v>33</v>
      </c>
      <c r="AH94" s="100" t="s">
        <v>34</v>
      </c>
      <c r="AI94" s="98" t="s">
        <v>32</v>
      </c>
      <c r="AJ94" s="98" t="s">
        <v>32</v>
      </c>
      <c r="AK94" s="98" t="s">
        <v>49</v>
      </c>
      <c r="AL94" s="101" t="s">
        <v>36</v>
      </c>
      <c r="AO94" s="97" t="str">
        <f>informatieblad!$A$6</f>
        <v>FL20</v>
      </c>
      <c r="AP94" s="97" t="str">
        <f>informatieblad!$A$7</f>
        <v>FL30</v>
      </c>
      <c r="AQ94" s="99" t="str">
        <f>informatieblad!$A$8</f>
        <v>FL40</v>
      </c>
      <c r="AR94" s="266" t="str">
        <f>informatieblad!$A$5</f>
        <v>none</v>
      </c>
      <c r="AS94" s="64"/>
      <c r="AT94" s="266" t="s">
        <v>17</v>
      </c>
      <c r="AU94" s="64"/>
      <c r="AV94" s="266" t="s">
        <v>37</v>
      </c>
      <c r="AW94" s="64"/>
      <c r="AX94" s="269" t="s">
        <v>38</v>
      </c>
      <c r="AY94" s="272">
        <f>informatieblad!$B$3</f>
        <v>0</v>
      </c>
      <c r="AZ94" s="264">
        <f>informatieblad!$B$4</f>
        <v>0</v>
      </c>
    </row>
    <row r="95" spans="1:52">
      <c r="A95" s="475"/>
      <c r="B95" s="496" t="str">
        <f>IF($C96&gt;0,IF(MAX(B94,C94)&lt;informatieblad!$Q$4,informatieblad!$P$3,IF(MAX(B94,C94)&gt;informatieblad!$R$4,informatieblad!$P$5,informatieblad!$P$4)),"")</f>
        <v/>
      </c>
      <c r="C95" s="497"/>
      <c r="D95" s="223"/>
      <c r="E95" s="223"/>
      <c r="F95" s="224" t="str">
        <f>A94&amp;"-"&amp;informatieblad!$B$17&amp;"-"&amp;B94&amp;"-"&amp;C94&amp;"-"&amp;D94&amp;"-"&amp;B95&amp;"-"&amp;F96</f>
        <v>-RctE---0--Options None</v>
      </c>
      <c r="G95" s="235"/>
      <c r="H95" s="235"/>
      <c r="I95" s="236"/>
      <c r="J95" s="83"/>
      <c r="T95" s="103">
        <f>A94</f>
        <v>0</v>
      </c>
      <c r="U95" s="104" t="s">
        <v>39</v>
      </c>
      <c r="V95" s="104" t="s">
        <v>39</v>
      </c>
      <c r="W95" s="104" t="s">
        <v>40</v>
      </c>
      <c r="X95" s="104" t="s">
        <v>40</v>
      </c>
      <c r="Y95" s="104" t="s">
        <v>40</v>
      </c>
      <c r="Z95" s="105"/>
      <c r="AA95" s="155" t="s">
        <v>27</v>
      </c>
      <c r="AB95" s="155" t="s">
        <v>40</v>
      </c>
      <c r="AC95" s="155" t="s">
        <v>41</v>
      </c>
      <c r="AD95" s="156" t="s">
        <v>107</v>
      </c>
      <c r="AE95" s="104" t="s">
        <v>108</v>
      </c>
      <c r="AF95" s="107" t="s">
        <v>91</v>
      </c>
      <c r="AG95" s="107" t="s">
        <v>44</v>
      </c>
      <c r="AH95" s="107"/>
      <c r="AI95" s="104" t="s">
        <v>40</v>
      </c>
      <c r="AJ95" s="104" t="s">
        <v>41</v>
      </c>
      <c r="AK95" s="108"/>
      <c r="AL95" s="109"/>
      <c r="AO95" s="262" t="str">
        <f>informatieblad!$A$2</f>
        <v>FL20 loose</v>
      </c>
      <c r="AP95" s="262" t="str">
        <f>informatieblad!$A$3</f>
        <v>FL30 loose</v>
      </c>
      <c r="AQ95" s="263" t="str">
        <f>informatieblad!$A$4</f>
        <v>FL40 loose</v>
      </c>
      <c r="AR95" s="282"/>
      <c r="AS95" s="64"/>
      <c r="AT95" s="267"/>
      <c r="AU95" s="64"/>
      <c r="AV95" s="267"/>
      <c r="AW95" s="64"/>
      <c r="AX95" s="265" t="s">
        <v>47</v>
      </c>
      <c r="AY95" s="83" t="s">
        <v>23</v>
      </c>
      <c r="AZ95" s="273" t="s">
        <v>23</v>
      </c>
    </row>
    <row r="96" spans="1:52" ht="15.75" thickBot="1">
      <c r="A96" s="495"/>
      <c r="B96" s="227" t="s">
        <v>23</v>
      </c>
      <c r="C96" s="237"/>
      <c r="D96" s="229">
        <f>C96*V96</f>
        <v>0</v>
      </c>
      <c r="E96" s="230" t="s">
        <v>24</v>
      </c>
      <c r="F96" s="498" t="s">
        <v>25</v>
      </c>
      <c r="G96" s="452"/>
      <c r="H96" s="452"/>
      <c r="I96" s="453"/>
      <c r="J96" s="176"/>
      <c r="T96" s="111"/>
      <c r="U96" s="112">
        <f>(((((B94+C94))*D94)+(B94*C94))/1000000)</f>
        <v>0</v>
      </c>
      <c r="V96" s="112">
        <f>((IF(U96&lt;=informatieblad!$I$17,informatieblad!$I$17,IF(U96&gt;=informatieblad!$I$17,U96))))</f>
        <v>0.5</v>
      </c>
      <c r="W96" s="112">
        <f>(B94*C94)/1000000</f>
        <v>0</v>
      </c>
      <c r="X96" s="112">
        <f>((IF(W96&lt;=informatieblad!$H$17,informatieblad!$H$17,IF(W96&gt;=informatieblad!$H$17,W96))))</f>
        <v>0</v>
      </c>
      <c r="Y96" s="113">
        <f>((X96*AI96)+(X96*AB96))*C96</f>
        <v>0</v>
      </c>
      <c r="Z96" s="114">
        <f>((V96*AJ96)+(V96*AC96))*C96</f>
        <v>0</v>
      </c>
      <c r="AA96" s="115" t="str">
        <f>F96</f>
        <v>Options None</v>
      </c>
      <c r="AB96" s="115">
        <f>VLOOKUP(F96,informatieblad!$A$37:$D$41,2,FALSE)</f>
        <v>0</v>
      </c>
      <c r="AC96" s="115">
        <f>VLOOKUP(F96,informatieblad!$A$37:$D$41,4,FALSE)</f>
        <v>0</v>
      </c>
      <c r="AD96" s="180">
        <f>(MAX(K94,L94))</f>
        <v>0</v>
      </c>
      <c r="AE96" s="119">
        <f>(MAX(M94,N94))</f>
        <v>0</v>
      </c>
      <c r="AF96" s="119">
        <f>(MAX(K94,M94))</f>
        <v>0</v>
      </c>
      <c r="AG96" s="119">
        <f>(MAX(B94:C94))</f>
        <v>0</v>
      </c>
      <c r="AH96" s="119">
        <f>LOOKUP(AG96,informatieblad!$C$27:$C$32,informatieblad!$A$27:$A$32)</f>
        <v>0.5</v>
      </c>
      <c r="AI96" s="118">
        <f>VLOOKUP(AH96,informatieblad!$A$27:$M$32,6,FALSE)</f>
        <v>0</v>
      </c>
      <c r="AJ96" s="118">
        <f>VLOOKUP(AH96,informatieblad!$A$27:$M$32,8,FALSE)</f>
        <v>45.1248</v>
      </c>
      <c r="AK96" s="120">
        <f>VLOOKUP(AH96,informatieblad!$A$27:$M$32,13,FALSE)</f>
        <v>4</v>
      </c>
      <c r="AL96" s="121">
        <f>ROUND((AK96*W96),1)</f>
        <v>0</v>
      </c>
      <c r="AO96" s="111">
        <f>(IF(B95=AO94,((2*B94)+(2*C94)),IF(B95=AO95,((2*B94)+(2*C94)),0)))*C96</f>
        <v>0</v>
      </c>
      <c r="AP96" s="111">
        <f>(IF(B95=AP94,((2*B94)+(2*C94)),IF(B95=AP95,((2*B94)+(2*C94)),0)))*C96</f>
        <v>0</v>
      </c>
      <c r="AQ96" s="261">
        <f>(IF(B95=AQ94,((2*B94)+(2*C94)),IF(B95=AQ95,((2*B94)+(2*C94)),0)))*C96</f>
        <v>0</v>
      </c>
      <c r="AR96" s="283">
        <f>(IF(B95=AR94,((2*B94)+(2*C94)),0))*C96</f>
        <v>0</v>
      </c>
      <c r="AS96" s="64"/>
      <c r="AT96" s="268">
        <f>D94*C96</f>
        <v>0</v>
      </c>
      <c r="AU96" s="64"/>
      <c r="AV96" s="268">
        <f>(AG96+100)*C96</f>
        <v>0</v>
      </c>
      <c r="AW96" s="64"/>
      <c r="AX96" s="111" t="str">
        <f>IF(B95=informatieblad!$A$6,informatieblad!$B$6,IF(B95=informatieblad!$A$7,informatieblad!$B$7,IF(B95=informatieblad!$A$8,informatieblad!$B$8,IF(B95=informatieblad!$A$2,informatieblad!$B$2,IF(B95=informatieblad!$A$3,informatieblad!$B$3,IF(B95=informatieblad!$A$4,informatieblad!$B$4,IF(B95=informatieblad!$A$5,informatieblad!$B$5,"")))))))</f>
        <v/>
      </c>
      <c r="AY96" s="276">
        <f>IF(AX96=AY94,(4*C96),0)</f>
        <v>0</v>
      </c>
      <c r="AZ96" s="274">
        <f>IF(AX96=AZ94,(4*C96),0)</f>
        <v>0</v>
      </c>
    </row>
    <row r="97" spans="1:52" ht="5.0999999999999996" customHeight="1" thickBot="1">
      <c r="A97" s="231"/>
      <c r="B97" s="232"/>
      <c r="C97" s="232"/>
      <c r="D97" s="232"/>
      <c r="E97" s="232"/>
      <c r="F97" s="232"/>
      <c r="G97" s="232"/>
      <c r="H97" s="232"/>
      <c r="I97" s="233"/>
      <c r="J97" s="64"/>
    </row>
    <row r="98" spans="1:52" ht="15.75" thickBot="1">
      <c r="A98" s="494"/>
      <c r="B98" s="234"/>
      <c r="C98" s="234"/>
      <c r="D98" s="220">
        <f>(B98&gt;0)*$I$8</f>
        <v>0</v>
      </c>
      <c r="E98" s="221"/>
      <c r="F98" s="221"/>
      <c r="G98" s="221"/>
      <c r="H98" s="221"/>
      <c r="I98" s="222"/>
      <c r="J98" s="345" t="s">
        <v>20</v>
      </c>
      <c r="T98" s="97" t="s">
        <v>14</v>
      </c>
      <c r="U98" s="98" t="s">
        <v>27</v>
      </c>
      <c r="V98" s="98" t="s">
        <v>28</v>
      </c>
      <c r="W98" s="98" t="s">
        <v>27</v>
      </c>
      <c r="X98" s="98" t="s">
        <v>28</v>
      </c>
      <c r="Y98" s="98" t="s">
        <v>29</v>
      </c>
      <c r="Z98" s="66" t="s">
        <v>30</v>
      </c>
      <c r="AA98" s="153" t="s">
        <v>31</v>
      </c>
      <c r="AB98" s="153"/>
      <c r="AC98" s="153"/>
      <c r="AD98" s="154" t="s">
        <v>83</v>
      </c>
      <c r="AE98" s="100" t="s">
        <v>83</v>
      </c>
      <c r="AF98" s="100" t="s">
        <v>83</v>
      </c>
      <c r="AG98" s="100" t="s">
        <v>33</v>
      </c>
      <c r="AH98" s="100" t="s">
        <v>34</v>
      </c>
      <c r="AI98" s="98" t="s">
        <v>32</v>
      </c>
      <c r="AJ98" s="98" t="s">
        <v>32</v>
      </c>
      <c r="AK98" s="98" t="s">
        <v>49</v>
      </c>
      <c r="AL98" s="101" t="s">
        <v>36</v>
      </c>
      <c r="AO98" s="97" t="str">
        <f>informatieblad!$A$6</f>
        <v>FL20</v>
      </c>
      <c r="AP98" s="97" t="str">
        <f>informatieblad!$A$7</f>
        <v>FL30</v>
      </c>
      <c r="AQ98" s="99" t="str">
        <f>informatieblad!$A$8</f>
        <v>FL40</v>
      </c>
      <c r="AR98" s="266" t="str">
        <f>informatieblad!$A$5</f>
        <v>none</v>
      </c>
      <c r="AS98" s="64"/>
      <c r="AT98" s="266" t="s">
        <v>17</v>
      </c>
      <c r="AU98" s="64"/>
      <c r="AV98" s="266" t="s">
        <v>37</v>
      </c>
      <c r="AW98" s="64"/>
      <c r="AX98" s="269" t="s">
        <v>38</v>
      </c>
      <c r="AY98" s="272">
        <f>informatieblad!$B$3</f>
        <v>0</v>
      </c>
      <c r="AZ98" s="264">
        <f>informatieblad!$B$4</f>
        <v>0</v>
      </c>
    </row>
    <row r="99" spans="1:52">
      <c r="A99" s="475"/>
      <c r="B99" s="496" t="str">
        <f>IF($C100&gt;0,IF(MAX(B98,C98)&lt;informatieblad!$Q$4,informatieblad!$P$3,IF(MAX(B98,C98)&gt;informatieblad!$R$4,informatieblad!$P$5,informatieblad!$P$4)),"")</f>
        <v/>
      </c>
      <c r="C99" s="497"/>
      <c r="D99" s="223"/>
      <c r="E99" s="223"/>
      <c r="F99" s="224" t="str">
        <f>A98&amp;"-"&amp;informatieblad!$B$17&amp;"-"&amp;B98&amp;"-"&amp;C98&amp;"-"&amp;D98&amp;"-"&amp;B99&amp;"-"&amp;F100</f>
        <v>-RctE---0--Options None</v>
      </c>
      <c r="G99" s="235"/>
      <c r="H99" s="235"/>
      <c r="I99" s="236"/>
      <c r="J99" s="83"/>
      <c r="T99" s="103">
        <f>A98</f>
        <v>0</v>
      </c>
      <c r="U99" s="104" t="s">
        <v>39</v>
      </c>
      <c r="V99" s="104" t="s">
        <v>39</v>
      </c>
      <c r="W99" s="104" t="s">
        <v>40</v>
      </c>
      <c r="X99" s="104" t="s">
        <v>40</v>
      </c>
      <c r="Y99" s="104" t="s">
        <v>40</v>
      </c>
      <c r="Z99" s="105"/>
      <c r="AA99" s="155" t="s">
        <v>27</v>
      </c>
      <c r="AB99" s="155" t="s">
        <v>40</v>
      </c>
      <c r="AC99" s="155" t="s">
        <v>41</v>
      </c>
      <c r="AD99" s="156" t="s">
        <v>107</v>
      </c>
      <c r="AE99" s="104" t="s">
        <v>108</v>
      </c>
      <c r="AF99" s="107" t="s">
        <v>91</v>
      </c>
      <c r="AG99" s="107" t="s">
        <v>44</v>
      </c>
      <c r="AH99" s="107"/>
      <c r="AI99" s="104" t="s">
        <v>40</v>
      </c>
      <c r="AJ99" s="104" t="s">
        <v>41</v>
      </c>
      <c r="AK99" s="108"/>
      <c r="AL99" s="109"/>
      <c r="AO99" s="262" t="str">
        <f>informatieblad!$A$2</f>
        <v>FL20 loose</v>
      </c>
      <c r="AP99" s="262" t="str">
        <f>informatieblad!$A$3</f>
        <v>FL30 loose</v>
      </c>
      <c r="AQ99" s="263" t="str">
        <f>informatieblad!$A$4</f>
        <v>FL40 loose</v>
      </c>
      <c r="AR99" s="282"/>
      <c r="AS99" s="64"/>
      <c r="AT99" s="267"/>
      <c r="AU99" s="64"/>
      <c r="AV99" s="267"/>
      <c r="AW99" s="64"/>
      <c r="AX99" s="265" t="s">
        <v>47</v>
      </c>
      <c r="AY99" s="83" t="s">
        <v>23</v>
      </c>
      <c r="AZ99" s="273" t="s">
        <v>23</v>
      </c>
    </row>
    <row r="100" spans="1:52" ht="15.75" thickBot="1">
      <c r="A100" s="495"/>
      <c r="B100" s="227" t="s">
        <v>23</v>
      </c>
      <c r="C100" s="237"/>
      <c r="D100" s="229">
        <f>C100*V100</f>
        <v>0</v>
      </c>
      <c r="E100" s="230" t="s">
        <v>24</v>
      </c>
      <c r="F100" s="498" t="s">
        <v>25</v>
      </c>
      <c r="G100" s="452"/>
      <c r="H100" s="452"/>
      <c r="I100" s="453"/>
      <c r="J100" s="176"/>
      <c r="T100" s="111"/>
      <c r="U100" s="112">
        <f>(((((B98+C98))*D98)+(B98*C98))/1000000)</f>
        <v>0</v>
      </c>
      <c r="V100" s="112">
        <f>((IF(U100&lt;=informatieblad!$I$17,informatieblad!$I$17,IF(U100&gt;=informatieblad!$I$17,U100))))</f>
        <v>0.5</v>
      </c>
      <c r="W100" s="112">
        <f>(B98*C98)/1000000</f>
        <v>0</v>
      </c>
      <c r="X100" s="112">
        <f>((IF(W100&lt;=informatieblad!$H$17,informatieblad!$H$17,IF(W100&gt;=informatieblad!$H$17,W100))))</f>
        <v>0</v>
      </c>
      <c r="Y100" s="113">
        <f>((X100*AI100)+(X100*AB100))*C100</f>
        <v>0</v>
      </c>
      <c r="Z100" s="114">
        <f>((V100*AJ100)+(V100*AC100))*C100</f>
        <v>0</v>
      </c>
      <c r="AA100" s="115" t="str">
        <f>F100</f>
        <v>Options None</v>
      </c>
      <c r="AB100" s="115">
        <f>VLOOKUP(F100,informatieblad!$A$37:$D$41,2,FALSE)</f>
        <v>0</v>
      </c>
      <c r="AC100" s="115">
        <f>VLOOKUP(F100,informatieblad!$A$37:$D$41,4,FALSE)</f>
        <v>0</v>
      </c>
      <c r="AD100" s="180">
        <f>(MAX(K98,L98))</f>
        <v>0</v>
      </c>
      <c r="AE100" s="119">
        <f>(MAX(M98,N98))</f>
        <v>0</v>
      </c>
      <c r="AF100" s="119">
        <f>(MAX(K98,M98))</f>
        <v>0</v>
      </c>
      <c r="AG100" s="119">
        <f>(MAX(B98:C98))</f>
        <v>0</v>
      </c>
      <c r="AH100" s="119">
        <f>LOOKUP(AG100,informatieblad!$C$27:$C$32,informatieblad!$A$27:$A$32)</f>
        <v>0.5</v>
      </c>
      <c r="AI100" s="118">
        <f>VLOOKUP(AH100,informatieblad!$A$27:$M$32,6,FALSE)</f>
        <v>0</v>
      </c>
      <c r="AJ100" s="118">
        <f>VLOOKUP(AH100,informatieblad!$A$27:$M$32,8,FALSE)</f>
        <v>45.1248</v>
      </c>
      <c r="AK100" s="120">
        <f>VLOOKUP(AH100,informatieblad!$A$27:$M$32,13,FALSE)</f>
        <v>4</v>
      </c>
      <c r="AL100" s="121">
        <f>ROUND((AK100*W100),1)</f>
        <v>0</v>
      </c>
      <c r="AO100" s="111">
        <f>(IF(B99=AO98,((2*B98)+(2*C98)),IF(B99=AO99,((2*B98)+(2*C98)),0)))*C100</f>
        <v>0</v>
      </c>
      <c r="AP100" s="111">
        <f>(IF(B99=AP98,((2*B98)+(2*C98)),IF(B99=AP99,((2*B98)+(2*C98)),0)))*C100</f>
        <v>0</v>
      </c>
      <c r="AQ100" s="261">
        <f>(IF(B99=AQ98,((2*B98)+(2*C98)),IF(B99=AQ99,((2*B98)+(2*C98)),0)))*C100</f>
        <v>0</v>
      </c>
      <c r="AR100" s="283">
        <f>(IF(B99=AR98,((2*B98)+(2*C98)),0))*C100</f>
        <v>0</v>
      </c>
      <c r="AS100" s="64"/>
      <c r="AT100" s="268">
        <f>D98*C100</f>
        <v>0</v>
      </c>
      <c r="AU100" s="64"/>
      <c r="AV100" s="268">
        <f>(AG100+100)*C100</f>
        <v>0</v>
      </c>
      <c r="AW100" s="64"/>
      <c r="AX100" s="111" t="str">
        <f>IF(B99=informatieblad!$A$6,informatieblad!$B$6,IF(B99=informatieblad!$A$7,informatieblad!$B$7,IF(B99=informatieblad!$A$8,informatieblad!$B$8,IF(B99=informatieblad!$A$2,informatieblad!$B$2,IF(B99=informatieblad!$A$3,informatieblad!$B$3,IF(B99=informatieblad!$A$4,informatieblad!$B$4,IF(B99=informatieblad!$A$5,informatieblad!$B$5,"")))))))</f>
        <v/>
      </c>
      <c r="AY100" s="276">
        <f>IF(AX100=AY98,(4*C100),0)</f>
        <v>0</v>
      </c>
      <c r="AZ100" s="274">
        <f>IF(AX100=AZ98,(4*C100),0)</f>
        <v>0</v>
      </c>
    </row>
    <row r="101" spans="1:52" ht="5.0999999999999996" customHeight="1" thickBot="1">
      <c r="A101" s="231"/>
      <c r="B101" s="232"/>
      <c r="C101" s="232"/>
      <c r="D101" s="232"/>
      <c r="E101" s="232"/>
      <c r="F101" s="232"/>
      <c r="G101" s="232"/>
      <c r="H101" s="232"/>
      <c r="I101" s="233"/>
      <c r="J101" s="64"/>
    </row>
    <row r="102" spans="1:52" ht="15.75" thickBot="1">
      <c r="A102" s="494"/>
      <c r="B102" s="234"/>
      <c r="C102" s="234"/>
      <c r="D102" s="220">
        <f>(B102&gt;0)*$I$8</f>
        <v>0</v>
      </c>
      <c r="E102" s="221"/>
      <c r="F102" s="221"/>
      <c r="G102" s="221"/>
      <c r="H102" s="221"/>
      <c r="I102" s="222"/>
      <c r="J102" s="345" t="s">
        <v>20</v>
      </c>
      <c r="T102" s="97" t="s">
        <v>14</v>
      </c>
      <c r="U102" s="98" t="s">
        <v>27</v>
      </c>
      <c r="V102" s="98" t="s">
        <v>28</v>
      </c>
      <c r="W102" s="98" t="s">
        <v>27</v>
      </c>
      <c r="X102" s="98" t="s">
        <v>28</v>
      </c>
      <c r="Y102" s="98" t="s">
        <v>29</v>
      </c>
      <c r="Z102" s="66" t="s">
        <v>30</v>
      </c>
      <c r="AA102" s="153" t="s">
        <v>31</v>
      </c>
      <c r="AB102" s="153"/>
      <c r="AC102" s="153"/>
      <c r="AD102" s="154" t="s">
        <v>83</v>
      </c>
      <c r="AE102" s="100" t="s">
        <v>83</v>
      </c>
      <c r="AF102" s="100" t="s">
        <v>83</v>
      </c>
      <c r="AG102" s="100" t="s">
        <v>33</v>
      </c>
      <c r="AH102" s="100" t="s">
        <v>34</v>
      </c>
      <c r="AI102" s="98" t="s">
        <v>32</v>
      </c>
      <c r="AJ102" s="98" t="s">
        <v>32</v>
      </c>
      <c r="AK102" s="98" t="s">
        <v>49</v>
      </c>
      <c r="AL102" s="101" t="s">
        <v>36</v>
      </c>
      <c r="AO102" s="97" t="str">
        <f>informatieblad!$A$6</f>
        <v>FL20</v>
      </c>
      <c r="AP102" s="97" t="str">
        <f>informatieblad!$A$7</f>
        <v>FL30</v>
      </c>
      <c r="AQ102" s="99" t="str">
        <f>informatieblad!$A$8</f>
        <v>FL40</v>
      </c>
      <c r="AR102" s="266" t="str">
        <f>informatieblad!$A$5</f>
        <v>none</v>
      </c>
      <c r="AS102" s="64"/>
      <c r="AT102" s="266" t="s">
        <v>17</v>
      </c>
      <c r="AU102" s="64"/>
      <c r="AV102" s="266" t="s">
        <v>37</v>
      </c>
      <c r="AW102" s="64"/>
      <c r="AX102" s="269" t="s">
        <v>38</v>
      </c>
      <c r="AY102" s="272">
        <f>informatieblad!$B$3</f>
        <v>0</v>
      </c>
      <c r="AZ102" s="264">
        <f>informatieblad!$B$4</f>
        <v>0</v>
      </c>
    </row>
    <row r="103" spans="1:52">
      <c r="A103" s="475"/>
      <c r="B103" s="496" t="str">
        <f>IF($C104&gt;0,IF(MAX(B102,C102)&lt;informatieblad!$Q$4,informatieblad!$P$3,IF(MAX(B102,C102)&gt;informatieblad!$R$4,informatieblad!$P$5,informatieblad!$P$4)),"")</f>
        <v/>
      </c>
      <c r="C103" s="497"/>
      <c r="D103" s="223"/>
      <c r="E103" s="223"/>
      <c r="F103" s="224" t="str">
        <f>A102&amp;"-"&amp;informatieblad!$B$17&amp;"-"&amp;B102&amp;"-"&amp;C102&amp;"-"&amp;D102&amp;"-"&amp;B103&amp;"-"&amp;F104</f>
        <v>-RctE---0--Options None</v>
      </c>
      <c r="G103" s="235"/>
      <c r="H103" s="235"/>
      <c r="I103" s="236"/>
      <c r="J103" s="83"/>
      <c r="T103" s="103">
        <f>A102</f>
        <v>0</v>
      </c>
      <c r="U103" s="104" t="s">
        <v>39</v>
      </c>
      <c r="V103" s="104" t="s">
        <v>39</v>
      </c>
      <c r="W103" s="104" t="s">
        <v>40</v>
      </c>
      <c r="X103" s="104" t="s">
        <v>40</v>
      </c>
      <c r="Y103" s="104" t="s">
        <v>40</v>
      </c>
      <c r="Z103" s="105"/>
      <c r="AA103" s="155" t="s">
        <v>27</v>
      </c>
      <c r="AB103" s="155" t="s">
        <v>40</v>
      </c>
      <c r="AC103" s="155" t="s">
        <v>41</v>
      </c>
      <c r="AD103" s="156" t="s">
        <v>107</v>
      </c>
      <c r="AE103" s="104" t="s">
        <v>108</v>
      </c>
      <c r="AF103" s="107" t="s">
        <v>91</v>
      </c>
      <c r="AG103" s="107" t="s">
        <v>44</v>
      </c>
      <c r="AH103" s="107"/>
      <c r="AI103" s="104" t="s">
        <v>40</v>
      </c>
      <c r="AJ103" s="104" t="s">
        <v>41</v>
      </c>
      <c r="AK103" s="108"/>
      <c r="AL103" s="109"/>
      <c r="AO103" s="262" t="str">
        <f>informatieblad!$A$2</f>
        <v>FL20 loose</v>
      </c>
      <c r="AP103" s="262" t="str">
        <f>informatieblad!$A$3</f>
        <v>FL30 loose</v>
      </c>
      <c r="AQ103" s="263" t="str">
        <f>informatieblad!$A$4</f>
        <v>FL40 loose</v>
      </c>
      <c r="AR103" s="282"/>
      <c r="AS103" s="64"/>
      <c r="AT103" s="267"/>
      <c r="AU103" s="64"/>
      <c r="AV103" s="267"/>
      <c r="AW103" s="64"/>
      <c r="AX103" s="265" t="s">
        <v>47</v>
      </c>
      <c r="AY103" s="83" t="s">
        <v>23</v>
      </c>
      <c r="AZ103" s="273" t="s">
        <v>23</v>
      </c>
    </row>
    <row r="104" spans="1:52" ht="15.75" thickBot="1">
      <c r="A104" s="495"/>
      <c r="B104" s="227" t="s">
        <v>23</v>
      </c>
      <c r="C104" s="237"/>
      <c r="D104" s="229">
        <f>C104*V104</f>
        <v>0</v>
      </c>
      <c r="E104" s="230" t="s">
        <v>24</v>
      </c>
      <c r="F104" s="498" t="s">
        <v>25</v>
      </c>
      <c r="G104" s="452"/>
      <c r="H104" s="452"/>
      <c r="I104" s="453"/>
      <c r="J104" s="176"/>
      <c r="T104" s="111"/>
      <c r="U104" s="112">
        <f>(((((B102+C102))*D102)+(B102*C102))/1000000)</f>
        <v>0</v>
      </c>
      <c r="V104" s="112">
        <f>((IF(U104&lt;=informatieblad!$I$17,informatieblad!$I$17,IF(U104&gt;=informatieblad!$I$17,U104))))</f>
        <v>0.5</v>
      </c>
      <c r="W104" s="112">
        <f>(B102*C102)/1000000</f>
        <v>0</v>
      </c>
      <c r="X104" s="112">
        <f>((IF(W104&lt;=informatieblad!$H$17,informatieblad!$H$17,IF(W104&gt;=informatieblad!$H$17,W104))))</f>
        <v>0</v>
      </c>
      <c r="Y104" s="113">
        <f>((X104*AI104)+(X104*AB104))*C104</f>
        <v>0</v>
      </c>
      <c r="Z104" s="114">
        <f>((V104*AJ104)+(V104*AC104))*C104</f>
        <v>0</v>
      </c>
      <c r="AA104" s="115" t="str">
        <f>F104</f>
        <v>Options None</v>
      </c>
      <c r="AB104" s="115">
        <f>VLOOKUP(F104,informatieblad!$A$37:$D$41,2,FALSE)</f>
        <v>0</v>
      </c>
      <c r="AC104" s="115">
        <f>VLOOKUP(F104,informatieblad!$A$37:$D$41,4,FALSE)</f>
        <v>0</v>
      </c>
      <c r="AD104" s="180">
        <f>(MAX(K102,L102))</f>
        <v>0</v>
      </c>
      <c r="AE104" s="119">
        <f>(MAX(M102,N102))</f>
        <v>0</v>
      </c>
      <c r="AF104" s="119">
        <f>(MAX(K102,M102))</f>
        <v>0</v>
      </c>
      <c r="AG104" s="119">
        <f>(MAX(B102:C102))</f>
        <v>0</v>
      </c>
      <c r="AH104" s="119">
        <f>LOOKUP(AG104,informatieblad!$C$27:$C$32,informatieblad!$A$27:$A$32)</f>
        <v>0.5</v>
      </c>
      <c r="AI104" s="118">
        <f>VLOOKUP(AH104,informatieblad!$A$27:$M$32,6,FALSE)</f>
        <v>0</v>
      </c>
      <c r="AJ104" s="118">
        <f>VLOOKUP(AH104,informatieblad!$A$27:$M$32,8,FALSE)</f>
        <v>45.1248</v>
      </c>
      <c r="AK104" s="120">
        <f>VLOOKUP(AH104,informatieblad!$A$27:$M$32,13,FALSE)</f>
        <v>4</v>
      </c>
      <c r="AL104" s="121">
        <f>ROUND((AK104*W104),1)</f>
        <v>0</v>
      </c>
      <c r="AO104" s="111">
        <f>(IF(B103=AO102,((2*B102)+(2*C102)),IF(B103=AO103,((2*B102)+(2*C102)),0)))*C104</f>
        <v>0</v>
      </c>
      <c r="AP104" s="111">
        <f>(IF(B103=AP102,((2*B102)+(2*C102)),IF(B103=AP103,((2*B102)+(2*C102)),0)))*C104</f>
        <v>0</v>
      </c>
      <c r="AQ104" s="261">
        <f>(IF(B103=AQ102,((2*B102)+(2*C102)),IF(B103=AQ103,((2*B102)+(2*C102)),0)))*C104</f>
        <v>0</v>
      </c>
      <c r="AR104" s="283">
        <f>(IF(B103=AR102,((2*B102)+(2*C102)),0))*C104</f>
        <v>0</v>
      </c>
      <c r="AS104" s="64"/>
      <c r="AT104" s="268">
        <f>D102*C104</f>
        <v>0</v>
      </c>
      <c r="AU104" s="64"/>
      <c r="AV104" s="268">
        <f>(AG104+100)*C104</f>
        <v>0</v>
      </c>
      <c r="AW104" s="64"/>
      <c r="AX104" s="111" t="str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/>
      </c>
      <c r="AY104" s="276">
        <f>IF(AX104=AY102,(4*C104),0)</f>
        <v>0</v>
      </c>
      <c r="AZ104" s="274">
        <f>IF(AX104=AZ102,(4*C104),0)</f>
        <v>0</v>
      </c>
    </row>
    <row r="105" spans="1:52" ht="5.0999999999999996" customHeight="1" thickBot="1">
      <c r="A105" s="231"/>
      <c r="B105" s="232"/>
      <c r="C105" s="232"/>
      <c r="D105" s="232"/>
      <c r="E105" s="232"/>
      <c r="F105" s="232"/>
      <c r="G105" s="232"/>
      <c r="H105" s="232"/>
      <c r="I105" s="233"/>
      <c r="J105" s="64"/>
    </row>
    <row r="106" spans="1:52" ht="15.75" thickBot="1">
      <c r="A106" s="494"/>
      <c r="B106" s="234"/>
      <c r="C106" s="234"/>
      <c r="D106" s="220">
        <f>(B106&gt;0)*$I$8</f>
        <v>0</v>
      </c>
      <c r="E106" s="221"/>
      <c r="F106" s="221"/>
      <c r="G106" s="221"/>
      <c r="H106" s="221"/>
      <c r="I106" s="222"/>
      <c r="J106" s="345" t="s">
        <v>20</v>
      </c>
      <c r="T106" s="97" t="s">
        <v>14</v>
      </c>
      <c r="U106" s="98" t="s">
        <v>27</v>
      </c>
      <c r="V106" s="98" t="s">
        <v>28</v>
      </c>
      <c r="W106" s="98" t="s">
        <v>27</v>
      </c>
      <c r="X106" s="98" t="s">
        <v>28</v>
      </c>
      <c r="Y106" s="98" t="s">
        <v>29</v>
      </c>
      <c r="Z106" s="66" t="s">
        <v>30</v>
      </c>
      <c r="AA106" s="153" t="s">
        <v>31</v>
      </c>
      <c r="AB106" s="153"/>
      <c r="AC106" s="153"/>
      <c r="AD106" s="154" t="s">
        <v>83</v>
      </c>
      <c r="AE106" s="100" t="s">
        <v>83</v>
      </c>
      <c r="AF106" s="100" t="s">
        <v>83</v>
      </c>
      <c r="AG106" s="100" t="s">
        <v>33</v>
      </c>
      <c r="AH106" s="100" t="s">
        <v>34</v>
      </c>
      <c r="AI106" s="98" t="s">
        <v>32</v>
      </c>
      <c r="AJ106" s="98" t="s">
        <v>32</v>
      </c>
      <c r="AK106" s="98" t="s">
        <v>49</v>
      </c>
      <c r="AL106" s="101" t="s">
        <v>36</v>
      </c>
      <c r="AO106" s="97" t="str">
        <f>informatieblad!$A$6</f>
        <v>FL20</v>
      </c>
      <c r="AP106" s="97" t="str">
        <f>informatieblad!$A$7</f>
        <v>FL30</v>
      </c>
      <c r="AQ106" s="99" t="str">
        <f>informatieblad!$A$8</f>
        <v>FL40</v>
      </c>
      <c r="AR106" s="266" t="str">
        <f>informatieblad!$A$5</f>
        <v>none</v>
      </c>
      <c r="AS106" s="64"/>
      <c r="AT106" s="266" t="s">
        <v>17</v>
      </c>
      <c r="AU106" s="64"/>
      <c r="AV106" s="266" t="s">
        <v>37</v>
      </c>
      <c r="AW106" s="64"/>
      <c r="AX106" s="269" t="s">
        <v>38</v>
      </c>
      <c r="AY106" s="272">
        <f>informatieblad!$B$3</f>
        <v>0</v>
      </c>
      <c r="AZ106" s="264">
        <f>informatieblad!$B$4</f>
        <v>0</v>
      </c>
    </row>
    <row r="107" spans="1:52">
      <c r="A107" s="475"/>
      <c r="B107" s="496" t="str">
        <f>IF($C108&gt;0,IF(MAX(B106,C106)&lt;informatieblad!$Q$4,informatieblad!$P$3,IF(MAX(B106,C106)&gt;informatieblad!$R$4,informatieblad!$P$5,informatieblad!$P$4)),"")</f>
        <v/>
      </c>
      <c r="C107" s="497"/>
      <c r="D107" s="223"/>
      <c r="E107" s="223"/>
      <c r="F107" s="224" t="str">
        <f>A106&amp;"-"&amp;informatieblad!$B$17&amp;"-"&amp;B106&amp;"-"&amp;C106&amp;"-"&amp;D106&amp;"-"&amp;B107&amp;"-"&amp;F108</f>
        <v>-RctE---0--Options None</v>
      </c>
      <c r="G107" s="235"/>
      <c r="H107" s="235"/>
      <c r="I107" s="236"/>
      <c r="J107" s="83"/>
      <c r="T107" s="103">
        <f>A106</f>
        <v>0</v>
      </c>
      <c r="U107" s="104" t="s">
        <v>39</v>
      </c>
      <c r="V107" s="104" t="s">
        <v>39</v>
      </c>
      <c r="W107" s="104" t="s">
        <v>40</v>
      </c>
      <c r="X107" s="104" t="s">
        <v>40</v>
      </c>
      <c r="Y107" s="104" t="s">
        <v>40</v>
      </c>
      <c r="Z107" s="105"/>
      <c r="AA107" s="155" t="s">
        <v>27</v>
      </c>
      <c r="AB107" s="155" t="s">
        <v>40</v>
      </c>
      <c r="AC107" s="155" t="s">
        <v>41</v>
      </c>
      <c r="AD107" s="156" t="s">
        <v>107</v>
      </c>
      <c r="AE107" s="104" t="s">
        <v>108</v>
      </c>
      <c r="AF107" s="107" t="s">
        <v>91</v>
      </c>
      <c r="AG107" s="107" t="s">
        <v>44</v>
      </c>
      <c r="AH107" s="107"/>
      <c r="AI107" s="104" t="s">
        <v>40</v>
      </c>
      <c r="AJ107" s="104" t="s">
        <v>41</v>
      </c>
      <c r="AK107" s="108"/>
      <c r="AL107" s="109"/>
      <c r="AO107" s="262" t="str">
        <f>informatieblad!$A$2</f>
        <v>FL20 loose</v>
      </c>
      <c r="AP107" s="262" t="str">
        <f>informatieblad!$A$3</f>
        <v>FL30 loose</v>
      </c>
      <c r="AQ107" s="263" t="str">
        <f>informatieblad!$A$4</f>
        <v>FL40 loose</v>
      </c>
      <c r="AR107" s="282"/>
      <c r="AS107" s="64"/>
      <c r="AT107" s="267"/>
      <c r="AU107" s="64"/>
      <c r="AV107" s="267"/>
      <c r="AW107" s="64"/>
      <c r="AX107" s="265" t="s">
        <v>47</v>
      </c>
      <c r="AY107" s="83" t="s">
        <v>23</v>
      </c>
      <c r="AZ107" s="273" t="s">
        <v>23</v>
      </c>
    </row>
    <row r="108" spans="1:52" ht="15.75" thickBot="1">
      <c r="A108" s="495"/>
      <c r="B108" s="227" t="s">
        <v>23</v>
      </c>
      <c r="C108" s="237"/>
      <c r="D108" s="229">
        <f>C108*V108</f>
        <v>0</v>
      </c>
      <c r="E108" s="230" t="s">
        <v>24</v>
      </c>
      <c r="F108" s="498" t="s">
        <v>25</v>
      </c>
      <c r="G108" s="452"/>
      <c r="H108" s="452"/>
      <c r="I108" s="453"/>
      <c r="J108" s="176"/>
      <c r="T108" s="111"/>
      <c r="U108" s="112">
        <f>(((((B106+C106))*D106)+(B106*C106))/1000000)</f>
        <v>0</v>
      </c>
      <c r="V108" s="112">
        <f>((IF(U108&lt;=informatieblad!$I$17,informatieblad!$I$17,IF(U108&gt;=informatieblad!$I$17,U108))))</f>
        <v>0.5</v>
      </c>
      <c r="W108" s="112">
        <f>(B106*C106)/1000000</f>
        <v>0</v>
      </c>
      <c r="X108" s="112">
        <f>((IF(W108&lt;=informatieblad!$H$17,informatieblad!$H$17,IF(W108&gt;=informatieblad!$H$17,W108))))</f>
        <v>0</v>
      </c>
      <c r="Y108" s="113">
        <f>((X108*AI108)+(X108*AB108))*C108</f>
        <v>0</v>
      </c>
      <c r="Z108" s="114">
        <f>((V108*AJ108)+(V108*AC108))*C108</f>
        <v>0</v>
      </c>
      <c r="AA108" s="115" t="str">
        <f>F108</f>
        <v>Options None</v>
      </c>
      <c r="AB108" s="115">
        <f>VLOOKUP(F108,informatieblad!$A$37:$D$41,2,FALSE)</f>
        <v>0</v>
      </c>
      <c r="AC108" s="115">
        <f>VLOOKUP(F108,informatieblad!$A$37:$D$41,4,FALSE)</f>
        <v>0</v>
      </c>
      <c r="AD108" s="180">
        <f>(MAX(K106,L106))</f>
        <v>0</v>
      </c>
      <c r="AE108" s="119">
        <f>(MAX(M106,N106))</f>
        <v>0</v>
      </c>
      <c r="AF108" s="119">
        <f>(MAX(K106,M106))</f>
        <v>0</v>
      </c>
      <c r="AG108" s="119">
        <f>(MAX(B106:C106))</f>
        <v>0</v>
      </c>
      <c r="AH108" s="119">
        <f>LOOKUP(AG108,informatieblad!$C$27:$C$32,informatieblad!$A$27:$A$32)</f>
        <v>0.5</v>
      </c>
      <c r="AI108" s="118">
        <f>VLOOKUP(AH108,informatieblad!$A$27:$M$32,6,FALSE)</f>
        <v>0</v>
      </c>
      <c r="AJ108" s="118">
        <f>VLOOKUP(AH108,informatieblad!$A$27:$M$32,8,FALSE)</f>
        <v>45.1248</v>
      </c>
      <c r="AK108" s="120">
        <f>VLOOKUP(AH108,informatieblad!$A$27:$M$32,13,FALSE)</f>
        <v>4</v>
      </c>
      <c r="AL108" s="121">
        <f>ROUND((AK108*W108),1)</f>
        <v>0</v>
      </c>
      <c r="AO108" s="111">
        <f>(IF(B107=AO106,((2*B106)+(2*C106)),IF(B107=AO107,((2*B106)+(2*C106)),0)))*C108</f>
        <v>0</v>
      </c>
      <c r="AP108" s="111">
        <f>(IF(B107=AP106,((2*B106)+(2*C106)),IF(B107=AP107,((2*B106)+(2*C106)),0)))*C108</f>
        <v>0</v>
      </c>
      <c r="AQ108" s="261">
        <f>(IF(B107=AQ106,((2*B106)+(2*C106)),IF(B107=AQ107,((2*B106)+(2*C106)),0)))*C108</f>
        <v>0</v>
      </c>
      <c r="AR108" s="283">
        <f>(IF(B107=AR106,((2*B106)+(2*C106)),0))*C108</f>
        <v>0</v>
      </c>
      <c r="AS108" s="64"/>
      <c r="AT108" s="268">
        <f>D106*C108</f>
        <v>0</v>
      </c>
      <c r="AU108" s="64"/>
      <c r="AV108" s="268">
        <f>(AG108+100)*C108</f>
        <v>0</v>
      </c>
      <c r="AW108" s="64"/>
      <c r="AX108" s="111" t="str">
        <f>IF(B107=informatieblad!$A$6,informatieblad!$B$6,IF(B107=informatieblad!$A$7,informatieblad!$B$7,IF(B107=informatieblad!$A$8,informatieblad!$B$8,IF(B107=informatieblad!$A$2,informatieblad!$B$2,IF(B107=informatieblad!$A$3,informatieblad!$B$3,IF(B107=informatieblad!$A$4,informatieblad!$B$4,IF(B107=informatieblad!$A$5,informatieblad!$B$5,"")))))))</f>
        <v/>
      </c>
      <c r="AY108" s="276">
        <f>IF(AX108=AY106,(4*C108),0)</f>
        <v>0</v>
      </c>
      <c r="AZ108" s="274">
        <f>IF(AX108=AZ106,(4*C108),0)</f>
        <v>0</v>
      </c>
    </row>
    <row r="109" spans="1:52" ht="5.0999999999999996" customHeight="1" thickBot="1">
      <c r="A109" s="231"/>
      <c r="B109" s="232"/>
      <c r="C109" s="232"/>
      <c r="D109" s="232"/>
      <c r="E109" s="232"/>
      <c r="F109" s="232"/>
      <c r="G109" s="232"/>
      <c r="H109" s="232"/>
      <c r="I109" s="233"/>
      <c r="J109" s="64"/>
    </row>
    <row r="110" spans="1:52" ht="15.75" thickBot="1">
      <c r="A110" s="494"/>
      <c r="B110" s="234"/>
      <c r="C110" s="234"/>
      <c r="D110" s="220">
        <f>(B110&gt;0)*$I$8</f>
        <v>0</v>
      </c>
      <c r="E110" s="221"/>
      <c r="F110" s="221"/>
      <c r="G110" s="221"/>
      <c r="H110" s="221"/>
      <c r="I110" s="222"/>
      <c r="J110" s="345" t="s">
        <v>20</v>
      </c>
      <c r="T110" s="97" t="s">
        <v>14</v>
      </c>
      <c r="U110" s="98" t="s">
        <v>27</v>
      </c>
      <c r="V110" s="98" t="s">
        <v>28</v>
      </c>
      <c r="W110" s="98" t="s">
        <v>27</v>
      </c>
      <c r="X110" s="98" t="s">
        <v>28</v>
      </c>
      <c r="Y110" s="98" t="s">
        <v>29</v>
      </c>
      <c r="Z110" s="66" t="s">
        <v>30</v>
      </c>
      <c r="AA110" s="153" t="s">
        <v>31</v>
      </c>
      <c r="AB110" s="153"/>
      <c r="AC110" s="153"/>
      <c r="AD110" s="154" t="s">
        <v>83</v>
      </c>
      <c r="AE110" s="100" t="s">
        <v>83</v>
      </c>
      <c r="AF110" s="100" t="s">
        <v>83</v>
      </c>
      <c r="AG110" s="100" t="s">
        <v>33</v>
      </c>
      <c r="AH110" s="100" t="s">
        <v>34</v>
      </c>
      <c r="AI110" s="98" t="s">
        <v>32</v>
      </c>
      <c r="AJ110" s="98" t="s">
        <v>32</v>
      </c>
      <c r="AK110" s="98" t="s">
        <v>49</v>
      </c>
      <c r="AL110" s="101" t="s">
        <v>36</v>
      </c>
      <c r="AO110" s="97" t="str">
        <f>informatieblad!$A$6</f>
        <v>FL20</v>
      </c>
      <c r="AP110" s="97" t="str">
        <f>informatieblad!$A$7</f>
        <v>FL30</v>
      </c>
      <c r="AQ110" s="99" t="str">
        <f>informatieblad!$A$8</f>
        <v>FL40</v>
      </c>
      <c r="AR110" s="266" t="str">
        <f>informatieblad!$A$5</f>
        <v>none</v>
      </c>
      <c r="AS110" s="64"/>
      <c r="AT110" s="266" t="s">
        <v>17</v>
      </c>
      <c r="AU110" s="64"/>
      <c r="AV110" s="266" t="s">
        <v>37</v>
      </c>
      <c r="AW110" s="64"/>
      <c r="AX110" s="269" t="s">
        <v>38</v>
      </c>
      <c r="AY110" s="272">
        <f>informatieblad!$B$3</f>
        <v>0</v>
      </c>
      <c r="AZ110" s="264">
        <f>informatieblad!$B$4</f>
        <v>0</v>
      </c>
    </row>
    <row r="111" spans="1:52">
      <c r="A111" s="475"/>
      <c r="B111" s="496" t="str">
        <f>IF($C112&gt;0,IF(MAX(B110,C110)&lt;informatieblad!$Q$4,informatieblad!$P$3,IF(MAX(B110,C110)&gt;informatieblad!$R$4,informatieblad!$P$5,informatieblad!$P$4)),"")</f>
        <v/>
      </c>
      <c r="C111" s="497"/>
      <c r="D111" s="223"/>
      <c r="E111" s="223"/>
      <c r="F111" s="224" t="str">
        <f>A110&amp;"-"&amp;informatieblad!$B$17&amp;"-"&amp;B110&amp;"-"&amp;C110&amp;"-"&amp;D110&amp;"-"&amp;B111&amp;"-"&amp;F112</f>
        <v>-RctE---0--Options None</v>
      </c>
      <c r="G111" s="235"/>
      <c r="H111" s="235"/>
      <c r="I111" s="236"/>
      <c r="J111" s="83"/>
      <c r="T111" s="103">
        <f>A110</f>
        <v>0</v>
      </c>
      <c r="U111" s="104" t="s">
        <v>39</v>
      </c>
      <c r="V111" s="104" t="s">
        <v>39</v>
      </c>
      <c r="W111" s="104" t="s">
        <v>40</v>
      </c>
      <c r="X111" s="104" t="s">
        <v>40</v>
      </c>
      <c r="Y111" s="104" t="s">
        <v>40</v>
      </c>
      <c r="Z111" s="105"/>
      <c r="AA111" s="155" t="s">
        <v>27</v>
      </c>
      <c r="AB111" s="155" t="s">
        <v>40</v>
      </c>
      <c r="AC111" s="155" t="s">
        <v>41</v>
      </c>
      <c r="AD111" s="156" t="s">
        <v>107</v>
      </c>
      <c r="AE111" s="104" t="s">
        <v>108</v>
      </c>
      <c r="AF111" s="107" t="s">
        <v>91</v>
      </c>
      <c r="AG111" s="107" t="s">
        <v>44</v>
      </c>
      <c r="AH111" s="107"/>
      <c r="AI111" s="104" t="s">
        <v>40</v>
      </c>
      <c r="AJ111" s="104" t="s">
        <v>41</v>
      </c>
      <c r="AK111" s="108"/>
      <c r="AL111" s="109"/>
      <c r="AO111" s="262" t="str">
        <f>informatieblad!$A$2</f>
        <v>FL20 loose</v>
      </c>
      <c r="AP111" s="262" t="str">
        <f>informatieblad!$A$3</f>
        <v>FL30 loose</v>
      </c>
      <c r="AQ111" s="263" t="str">
        <f>informatieblad!$A$4</f>
        <v>FL40 loose</v>
      </c>
      <c r="AR111" s="282"/>
      <c r="AS111" s="64"/>
      <c r="AT111" s="267"/>
      <c r="AU111" s="64"/>
      <c r="AV111" s="267"/>
      <c r="AW111" s="64"/>
      <c r="AX111" s="265" t="s">
        <v>47</v>
      </c>
      <c r="AY111" s="83" t="s">
        <v>23</v>
      </c>
      <c r="AZ111" s="273" t="s">
        <v>23</v>
      </c>
    </row>
    <row r="112" spans="1:52" ht="15.75" thickBot="1">
      <c r="A112" s="495"/>
      <c r="B112" s="227" t="s">
        <v>23</v>
      </c>
      <c r="C112" s="237"/>
      <c r="D112" s="229">
        <f>C112*V112</f>
        <v>0</v>
      </c>
      <c r="E112" s="230" t="s">
        <v>24</v>
      </c>
      <c r="F112" s="498" t="s">
        <v>25</v>
      </c>
      <c r="G112" s="452"/>
      <c r="H112" s="452"/>
      <c r="I112" s="453"/>
      <c r="J112" s="176"/>
      <c r="T112" s="111"/>
      <c r="U112" s="112">
        <f>(((((B110+C110))*D110)+(B110*C110))/1000000)</f>
        <v>0</v>
      </c>
      <c r="V112" s="112">
        <f>((IF(U112&lt;=informatieblad!$I$17,informatieblad!$I$17,IF(U112&gt;=informatieblad!$I$17,U112))))</f>
        <v>0.5</v>
      </c>
      <c r="W112" s="112">
        <f>(B110*C110)/1000000</f>
        <v>0</v>
      </c>
      <c r="X112" s="112">
        <f>((IF(W112&lt;=informatieblad!$H$17,informatieblad!$H$17,IF(W112&gt;=informatieblad!$H$17,W112))))</f>
        <v>0</v>
      </c>
      <c r="Y112" s="113">
        <f>((X112*AI112)+(X112*AB112))*C112</f>
        <v>0</v>
      </c>
      <c r="Z112" s="114">
        <f>((V112*AJ112)+(V112*AC112))*C112</f>
        <v>0</v>
      </c>
      <c r="AA112" s="115" t="str">
        <f>F112</f>
        <v>Options None</v>
      </c>
      <c r="AB112" s="115">
        <f>VLOOKUP(F112,informatieblad!$A$37:$D$41,2,FALSE)</f>
        <v>0</v>
      </c>
      <c r="AC112" s="115">
        <f>VLOOKUP(F112,informatieblad!$A$37:$D$41,4,FALSE)</f>
        <v>0</v>
      </c>
      <c r="AD112" s="180">
        <f>(MAX(K110,L110))</f>
        <v>0</v>
      </c>
      <c r="AE112" s="119">
        <f>(MAX(M110,N110))</f>
        <v>0</v>
      </c>
      <c r="AF112" s="119">
        <f>(MAX(K110,M110))</f>
        <v>0</v>
      </c>
      <c r="AG112" s="119">
        <f>(MAX(B110:C110))</f>
        <v>0</v>
      </c>
      <c r="AH112" s="119">
        <f>LOOKUP(AG112,informatieblad!$C$27:$C$32,informatieblad!$A$27:$A$32)</f>
        <v>0.5</v>
      </c>
      <c r="AI112" s="118">
        <f>VLOOKUP(AH112,informatieblad!$A$27:$M$32,6,FALSE)</f>
        <v>0</v>
      </c>
      <c r="AJ112" s="118">
        <f>VLOOKUP(AH112,informatieblad!$A$27:$M$32,8,FALSE)</f>
        <v>45.1248</v>
      </c>
      <c r="AK112" s="120">
        <f>VLOOKUP(AH112,informatieblad!$A$27:$M$32,13,FALSE)</f>
        <v>4</v>
      </c>
      <c r="AL112" s="121">
        <f>ROUND((AK112*W112),1)</f>
        <v>0</v>
      </c>
      <c r="AO112" s="111">
        <f>(IF(B111=AO110,((2*B110)+(2*C110)),IF(B111=AO111,((2*B110)+(2*C110)),0)))*C112</f>
        <v>0</v>
      </c>
      <c r="AP112" s="111">
        <f>(IF(B111=AP110,((2*B110)+(2*C110)),IF(B111=AP111,((2*B110)+(2*C110)),0)))*C112</f>
        <v>0</v>
      </c>
      <c r="AQ112" s="261">
        <f>(IF(B111=AQ110,((2*B110)+(2*C110)),IF(B111=AQ111,((2*B110)+(2*C110)),0)))*C112</f>
        <v>0</v>
      </c>
      <c r="AR112" s="283">
        <f>(IF(B111=AR110,((2*B110)+(2*C110)),0))*C112</f>
        <v>0</v>
      </c>
      <c r="AS112" s="64"/>
      <c r="AT112" s="268">
        <f>D110*C112</f>
        <v>0</v>
      </c>
      <c r="AU112" s="64"/>
      <c r="AV112" s="268">
        <f>(AG112+100)*C112</f>
        <v>0</v>
      </c>
      <c r="AW112" s="64"/>
      <c r="AX112" s="111" t="str">
        <f>IF(B111=informatieblad!$A$6,informatieblad!$B$6,IF(B111=informatieblad!$A$7,informatieblad!$B$7,IF(B111=informatieblad!$A$8,informatieblad!$B$8,IF(B111=informatieblad!$A$2,informatieblad!$B$2,IF(B111=informatieblad!$A$3,informatieblad!$B$3,IF(B111=informatieblad!$A$4,informatieblad!$B$4,IF(B111=informatieblad!$A$5,informatieblad!$B$5,"")))))))</f>
        <v/>
      </c>
      <c r="AY112" s="276">
        <f>IF(AX112=AY110,(4*C112),0)</f>
        <v>0</v>
      </c>
      <c r="AZ112" s="274">
        <f>IF(AX112=AZ110,(4*C112),0)</f>
        <v>0</v>
      </c>
    </row>
    <row r="113" spans="1:52" ht="5.0999999999999996" customHeight="1" thickBot="1">
      <c r="A113" s="231"/>
      <c r="B113" s="232"/>
      <c r="C113" s="232"/>
      <c r="D113" s="232"/>
      <c r="E113" s="232"/>
      <c r="F113" s="232"/>
      <c r="G113" s="232"/>
      <c r="H113" s="232"/>
      <c r="I113" s="233"/>
      <c r="J113" s="64"/>
    </row>
    <row r="114" spans="1:52" ht="15.75" thickBot="1">
      <c r="A114" s="494"/>
      <c r="B114" s="234"/>
      <c r="C114" s="234"/>
      <c r="D114" s="220">
        <f>(B114&gt;0)*$I$8</f>
        <v>0</v>
      </c>
      <c r="E114" s="221"/>
      <c r="F114" s="221"/>
      <c r="G114" s="221"/>
      <c r="H114" s="221"/>
      <c r="I114" s="222"/>
      <c r="J114" s="345" t="s">
        <v>20</v>
      </c>
      <c r="T114" s="97" t="s">
        <v>14</v>
      </c>
      <c r="U114" s="98" t="s">
        <v>27</v>
      </c>
      <c r="V114" s="98" t="s">
        <v>28</v>
      </c>
      <c r="W114" s="98" t="s">
        <v>27</v>
      </c>
      <c r="X114" s="98" t="s">
        <v>28</v>
      </c>
      <c r="Y114" s="98" t="s">
        <v>29</v>
      </c>
      <c r="Z114" s="66" t="s">
        <v>30</v>
      </c>
      <c r="AA114" s="153" t="s">
        <v>31</v>
      </c>
      <c r="AB114" s="153"/>
      <c r="AC114" s="153"/>
      <c r="AD114" s="154" t="s">
        <v>83</v>
      </c>
      <c r="AE114" s="100" t="s">
        <v>83</v>
      </c>
      <c r="AF114" s="100" t="s">
        <v>83</v>
      </c>
      <c r="AG114" s="100" t="s">
        <v>33</v>
      </c>
      <c r="AH114" s="100" t="s">
        <v>34</v>
      </c>
      <c r="AI114" s="98" t="s">
        <v>32</v>
      </c>
      <c r="AJ114" s="98" t="s">
        <v>32</v>
      </c>
      <c r="AK114" s="98" t="s">
        <v>49</v>
      </c>
      <c r="AL114" s="101" t="s">
        <v>36</v>
      </c>
      <c r="AO114" s="97" t="str">
        <f>informatieblad!$A$6</f>
        <v>FL20</v>
      </c>
      <c r="AP114" s="97" t="str">
        <f>informatieblad!$A$7</f>
        <v>FL30</v>
      </c>
      <c r="AQ114" s="99" t="str">
        <f>informatieblad!$A$8</f>
        <v>FL40</v>
      </c>
      <c r="AR114" s="266" t="str">
        <f>informatieblad!$A$5</f>
        <v>none</v>
      </c>
      <c r="AS114" s="64"/>
      <c r="AT114" s="266" t="s">
        <v>17</v>
      </c>
      <c r="AU114" s="64"/>
      <c r="AV114" s="266" t="s">
        <v>37</v>
      </c>
      <c r="AW114" s="64"/>
      <c r="AX114" s="269" t="s">
        <v>38</v>
      </c>
      <c r="AY114" s="272">
        <f>informatieblad!$B$3</f>
        <v>0</v>
      </c>
      <c r="AZ114" s="264">
        <f>informatieblad!$B$4</f>
        <v>0</v>
      </c>
    </row>
    <row r="115" spans="1:52">
      <c r="A115" s="475"/>
      <c r="B115" s="496" t="str">
        <f>IF($C116&gt;0,IF(MAX(B114,C114)&lt;informatieblad!$Q$4,informatieblad!$P$3,IF(MAX(B114,C114)&gt;informatieblad!$R$4,informatieblad!$P$5,informatieblad!$P$4)),"")</f>
        <v/>
      </c>
      <c r="C115" s="497"/>
      <c r="D115" s="223"/>
      <c r="E115" s="223"/>
      <c r="F115" s="224" t="str">
        <f>A114&amp;"-"&amp;informatieblad!$B$17&amp;"-"&amp;B114&amp;"-"&amp;C114&amp;"-"&amp;D114&amp;"-"&amp;B115&amp;"-"&amp;F116</f>
        <v>-RctE---0--Options None</v>
      </c>
      <c r="G115" s="235"/>
      <c r="H115" s="235"/>
      <c r="I115" s="236"/>
      <c r="J115" s="83"/>
      <c r="T115" s="103">
        <f>A114</f>
        <v>0</v>
      </c>
      <c r="U115" s="104" t="s">
        <v>39</v>
      </c>
      <c r="V115" s="104" t="s">
        <v>39</v>
      </c>
      <c r="W115" s="104" t="s">
        <v>40</v>
      </c>
      <c r="X115" s="104" t="s">
        <v>40</v>
      </c>
      <c r="Y115" s="104" t="s">
        <v>40</v>
      </c>
      <c r="Z115" s="105"/>
      <c r="AA115" s="155" t="s">
        <v>27</v>
      </c>
      <c r="AB115" s="155" t="s">
        <v>40</v>
      </c>
      <c r="AC115" s="155" t="s">
        <v>41</v>
      </c>
      <c r="AD115" s="156" t="s">
        <v>107</v>
      </c>
      <c r="AE115" s="104" t="s">
        <v>108</v>
      </c>
      <c r="AF115" s="107" t="s">
        <v>91</v>
      </c>
      <c r="AG115" s="107" t="s">
        <v>44</v>
      </c>
      <c r="AH115" s="107"/>
      <c r="AI115" s="104" t="s">
        <v>40</v>
      </c>
      <c r="AJ115" s="104" t="s">
        <v>41</v>
      </c>
      <c r="AK115" s="108"/>
      <c r="AL115" s="109"/>
      <c r="AO115" s="262" t="str">
        <f>informatieblad!$A$2</f>
        <v>FL20 loose</v>
      </c>
      <c r="AP115" s="262" t="str">
        <f>informatieblad!$A$3</f>
        <v>FL30 loose</v>
      </c>
      <c r="AQ115" s="263" t="str">
        <f>informatieblad!$A$4</f>
        <v>FL40 loose</v>
      </c>
      <c r="AR115" s="282"/>
      <c r="AS115" s="64"/>
      <c r="AT115" s="267"/>
      <c r="AU115" s="64"/>
      <c r="AV115" s="267"/>
      <c r="AW115" s="64"/>
      <c r="AX115" s="265" t="s">
        <v>47</v>
      </c>
      <c r="AY115" s="83" t="s">
        <v>23</v>
      </c>
      <c r="AZ115" s="273" t="s">
        <v>23</v>
      </c>
    </row>
    <row r="116" spans="1:52" ht="15.75" thickBot="1">
      <c r="A116" s="495"/>
      <c r="B116" s="227" t="s">
        <v>23</v>
      </c>
      <c r="C116" s="237"/>
      <c r="D116" s="229">
        <f>C116*V116</f>
        <v>0</v>
      </c>
      <c r="E116" s="230" t="s">
        <v>24</v>
      </c>
      <c r="F116" s="498" t="s">
        <v>25</v>
      </c>
      <c r="G116" s="452"/>
      <c r="H116" s="452"/>
      <c r="I116" s="453"/>
      <c r="J116" s="176"/>
      <c r="T116" s="111"/>
      <c r="U116" s="112">
        <f>(((((B114+C114))*D114)+(B114*C114))/1000000)</f>
        <v>0</v>
      </c>
      <c r="V116" s="112">
        <f>((IF(U116&lt;=informatieblad!$I$17,informatieblad!$I$17,IF(U116&gt;=informatieblad!$I$17,U116))))</f>
        <v>0.5</v>
      </c>
      <c r="W116" s="112">
        <f>(B114*C114)/1000000</f>
        <v>0</v>
      </c>
      <c r="X116" s="112">
        <f>((IF(W116&lt;=informatieblad!$H$17,informatieblad!$H$17,IF(W116&gt;=informatieblad!$H$17,W116))))</f>
        <v>0</v>
      </c>
      <c r="Y116" s="113">
        <f>((X116*AI116)+(X116*AB116))*C116</f>
        <v>0</v>
      </c>
      <c r="Z116" s="114">
        <f>((V116*AJ116)+(V116*AC116))*C116</f>
        <v>0</v>
      </c>
      <c r="AA116" s="115" t="str">
        <f>F116</f>
        <v>Options None</v>
      </c>
      <c r="AB116" s="115">
        <f>VLOOKUP(F116,informatieblad!$A$37:$D$41,2,FALSE)</f>
        <v>0</v>
      </c>
      <c r="AC116" s="115">
        <f>VLOOKUP(F116,informatieblad!$A$37:$D$41,4,FALSE)</f>
        <v>0</v>
      </c>
      <c r="AD116" s="180">
        <f>(MAX(K114,L114))</f>
        <v>0</v>
      </c>
      <c r="AE116" s="119">
        <f>(MAX(M114,N114))</f>
        <v>0</v>
      </c>
      <c r="AF116" s="119">
        <f>(MAX(K114,M114))</f>
        <v>0</v>
      </c>
      <c r="AG116" s="119">
        <f>(MAX(B114:C114))</f>
        <v>0</v>
      </c>
      <c r="AH116" s="119">
        <f>LOOKUP(AG116,informatieblad!$C$27:$C$32,informatieblad!$A$27:$A$32)</f>
        <v>0.5</v>
      </c>
      <c r="AI116" s="118">
        <f>VLOOKUP(AH116,informatieblad!$A$27:$M$32,6,FALSE)</f>
        <v>0</v>
      </c>
      <c r="AJ116" s="118">
        <f>VLOOKUP(AH116,informatieblad!$A$27:$M$32,8,FALSE)</f>
        <v>45.1248</v>
      </c>
      <c r="AK116" s="120">
        <f>VLOOKUP(AH116,informatieblad!$A$27:$M$32,13,FALSE)</f>
        <v>4</v>
      </c>
      <c r="AL116" s="121">
        <f>ROUND((AK116*W116),1)</f>
        <v>0</v>
      </c>
      <c r="AO116" s="111">
        <f>(IF(B115=AO114,((2*B114)+(2*C114)),IF(B115=AO115,((2*B114)+(2*C114)),0)))*C116</f>
        <v>0</v>
      </c>
      <c r="AP116" s="111">
        <f>(IF(B115=AP114,((2*B114)+(2*C114)),IF(B115=AP115,((2*B114)+(2*C114)),0)))*C116</f>
        <v>0</v>
      </c>
      <c r="AQ116" s="261">
        <f>(IF(B115=AQ114,((2*B114)+(2*C114)),IF(B115=AQ115,((2*B114)+(2*C114)),0)))*C116</f>
        <v>0</v>
      </c>
      <c r="AR116" s="283">
        <f>(IF(B115=AR114,((2*B114)+(2*C114)),0))*C116</f>
        <v>0</v>
      </c>
      <c r="AS116" s="64"/>
      <c r="AT116" s="268">
        <f>D114*C116</f>
        <v>0</v>
      </c>
      <c r="AU116" s="64"/>
      <c r="AV116" s="268">
        <f>(AG116+100)*C116</f>
        <v>0</v>
      </c>
      <c r="AW116" s="64"/>
      <c r="AX116" s="111" t="str">
        <f>IF(B115=informatieblad!$A$6,informatieblad!$B$6,IF(B115=informatieblad!$A$7,informatieblad!$B$7,IF(B115=informatieblad!$A$8,informatieblad!$B$8,IF(B115=informatieblad!$A$2,informatieblad!$B$2,IF(B115=informatieblad!$A$3,informatieblad!$B$3,IF(B115=informatieblad!$A$4,informatieblad!$B$4,IF(B115=informatieblad!$A$5,informatieblad!$B$5,"")))))))</f>
        <v/>
      </c>
      <c r="AY116" s="276">
        <f>IF(AX116=AY114,(4*C116),0)</f>
        <v>0</v>
      </c>
      <c r="AZ116" s="274">
        <f>IF(AX116=AZ114,(4*C116),0)</f>
        <v>0</v>
      </c>
    </row>
    <row r="117" spans="1:52" ht="5.0999999999999996" customHeight="1" thickBot="1">
      <c r="A117" s="231"/>
      <c r="B117" s="232"/>
      <c r="C117" s="232"/>
      <c r="D117" s="232"/>
      <c r="E117" s="232"/>
      <c r="F117" s="232"/>
      <c r="G117" s="232"/>
      <c r="H117" s="232"/>
      <c r="I117" s="233"/>
      <c r="J117" s="64"/>
    </row>
    <row r="118" spans="1:52" ht="15.75" thickBot="1">
      <c r="A118" s="494"/>
      <c r="B118" s="234"/>
      <c r="C118" s="234"/>
      <c r="D118" s="220">
        <f>(B118&gt;0)*$I$8</f>
        <v>0</v>
      </c>
      <c r="E118" s="221"/>
      <c r="F118" s="221"/>
      <c r="G118" s="221"/>
      <c r="H118" s="221"/>
      <c r="I118" s="222"/>
      <c r="J118" s="345" t="s">
        <v>20</v>
      </c>
      <c r="T118" s="97" t="s">
        <v>14</v>
      </c>
      <c r="U118" s="98" t="s">
        <v>27</v>
      </c>
      <c r="V118" s="98" t="s">
        <v>28</v>
      </c>
      <c r="W118" s="98" t="s">
        <v>27</v>
      </c>
      <c r="X118" s="98" t="s">
        <v>28</v>
      </c>
      <c r="Y118" s="98" t="s">
        <v>29</v>
      </c>
      <c r="Z118" s="66" t="s">
        <v>30</v>
      </c>
      <c r="AA118" s="153" t="s">
        <v>31</v>
      </c>
      <c r="AB118" s="153"/>
      <c r="AC118" s="153"/>
      <c r="AD118" s="154" t="s">
        <v>83</v>
      </c>
      <c r="AE118" s="100" t="s">
        <v>83</v>
      </c>
      <c r="AF118" s="100" t="s">
        <v>83</v>
      </c>
      <c r="AG118" s="100" t="s">
        <v>33</v>
      </c>
      <c r="AH118" s="100" t="s">
        <v>34</v>
      </c>
      <c r="AI118" s="98" t="s">
        <v>32</v>
      </c>
      <c r="AJ118" s="98" t="s">
        <v>32</v>
      </c>
      <c r="AK118" s="98" t="s">
        <v>50</v>
      </c>
      <c r="AL118" s="101" t="s">
        <v>36</v>
      </c>
      <c r="AO118" s="97" t="str">
        <f>informatieblad!$A$6</f>
        <v>FL20</v>
      </c>
      <c r="AP118" s="97" t="str">
        <f>informatieblad!$A$7</f>
        <v>FL30</v>
      </c>
      <c r="AQ118" s="99" t="str">
        <f>informatieblad!$A$8</f>
        <v>FL40</v>
      </c>
      <c r="AR118" s="266" t="str">
        <f>informatieblad!$A$5</f>
        <v>none</v>
      </c>
      <c r="AS118" s="64"/>
      <c r="AT118" s="266" t="s">
        <v>17</v>
      </c>
      <c r="AU118" s="64"/>
      <c r="AV118" s="266" t="s">
        <v>37</v>
      </c>
      <c r="AW118" s="64"/>
      <c r="AX118" s="269" t="s">
        <v>38</v>
      </c>
      <c r="AY118" s="272">
        <f>informatieblad!$B$3</f>
        <v>0</v>
      </c>
      <c r="AZ118" s="264">
        <f>informatieblad!$B$4</f>
        <v>0</v>
      </c>
    </row>
    <row r="119" spans="1:52">
      <c r="A119" s="475"/>
      <c r="B119" s="496" t="str">
        <f>IF($C120&gt;0,IF(MAX(B118,C118)&lt;informatieblad!$Q$4,informatieblad!$P$3,IF(MAX(B118,C118)&gt;informatieblad!$R$4,informatieblad!$P$5,informatieblad!$P$4)),"")</f>
        <v/>
      </c>
      <c r="C119" s="497"/>
      <c r="D119" s="223"/>
      <c r="E119" s="223"/>
      <c r="F119" s="224" t="str">
        <f>A118&amp;"-"&amp;informatieblad!$B$17&amp;"-"&amp;B118&amp;"-"&amp;C118&amp;"-"&amp;D118&amp;"-"&amp;B119&amp;"-"&amp;F120</f>
        <v>-RctE---0--Options None</v>
      </c>
      <c r="G119" s="235"/>
      <c r="H119" s="235"/>
      <c r="I119" s="236"/>
      <c r="J119" s="83"/>
      <c r="T119" s="103">
        <f>A118</f>
        <v>0</v>
      </c>
      <c r="U119" s="104" t="s">
        <v>39</v>
      </c>
      <c r="V119" s="104" t="s">
        <v>39</v>
      </c>
      <c r="W119" s="104" t="s">
        <v>40</v>
      </c>
      <c r="X119" s="104" t="s">
        <v>40</v>
      </c>
      <c r="Y119" s="104" t="s">
        <v>40</v>
      </c>
      <c r="Z119" s="105"/>
      <c r="AA119" s="155" t="s">
        <v>27</v>
      </c>
      <c r="AB119" s="155" t="s">
        <v>40</v>
      </c>
      <c r="AC119" s="155" t="s">
        <v>41</v>
      </c>
      <c r="AD119" s="156" t="s">
        <v>109</v>
      </c>
      <c r="AE119" s="104" t="s">
        <v>110</v>
      </c>
      <c r="AF119" s="107" t="s">
        <v>95</v>
      </c>
      <c r="AG119" s="107" t="s">
        <v>44</v>
      </c>
      <c r="AH119" s="107"/>
      <c r="AI119" s="104" t="s">
        <v>40</v>
      </c>
      <c r="AJ119" s="104" t="s">
        <v>41</v>
      </c>
      <c r="AK119" s="108"/>
      <c r="AL119" s="109"/>
      <c r="AO119" s="262" t="str">
        <f>informatieblad!$A$2</f>
        <v>FL20 loose</v>
      </c>
      <c r="AP119" s="262" t="str">
        <f>informatieblad!$A$3</f>
        <v>FL30 loose</v>
      </c>
      <c r="AQ119" s="263" t="str">
        <f>informatieblad!$A$4</f>
        <v>FL40 loose</v>
      </c>
      <c r="AR119" s="282"/>
      <c r="AS119" s="64"/>
      <c r="AT119" s="267"/>
      <c r="AU119" s="64"/>
      <c r="AV119" s="267"/>
      <c r="AW119" s="64"/>
      <c r="AX119" s="265" t="s">
        <v>47</v>
      </c>
      <c r="AY119" s="83" t="s">
        <v>23</v>
      </c>
      <c r="AZ119" s="273" t="s">
        <v>23</v>
      </c>
    </row>
    <row r="120" spans="1:52" ht="15.75" thickBot="1">
      <c r="A120" s="495"/>
      <c r="B120" s="227" t="s">
        <v>23</v>
      </c>
      <c r="C120" s="237"/>
      <c r="D120" s="229">
        <f>C120*V120</f>
        <v>0</v>
      </c>
      <c r="E120" s="230" t="s">
        <v>24</v>
      </c>
      <c r="F120" s="498" t="s">
        <v>25</v>
      </c>
      <c r="G120" s="452"/>
      <c r="H120" s="452"/>
      <c r="I120" s="453"/>
      <c r="J120" s="176"/>
      <c r="T120" s="111"/>
      <c r="U120" s="112">
        <f>(((((B118+C118))*D118)+(B118*C118))/1000000)</f>
        <v>0</v>
      </c>
      <c r="V120" s="112">
        <f>((IF(U120&lt;=informatieblad!$I$17,informatieblad!$I$17,IF(U120&gt;=informatieblad!$I$17,U120))))</f>
        <v>0.5</v>
      </c>
      <c r="W120" s="112">
        <f>(B118*C118)/1000000</f>
        <v>0</v>
      </c>
      <c r="X120" s="112">
        <f>((IF(W120&lt;=informatieblad!$H$17,informatieblad!$H$17,IF(W120&gt;=informatieblad!$H$17,W120))))</f>
        <v>0</v>
      </c>
      <c r="Y120" s="113">
        <f>((X120*AI120)+(X120*AB120))*C120</f>
        <v>0</v>
      </c>
      <c r="Z120" s="114">
        <f>((V120*AJ120)+(V120*AC120))*C120</f>
        <v>0</v>
      </c>
      <c r="AA120" s="115" t="str">
        <f>F120</f>
        <v>Options None</v>
      </c>
      <c r="AB120" s="115">
        <f>VLOOKUP(F120,informatieblad!$A$37:$D$41,2,FALSE)</f>
        <v>0</v>
      </c>
      <c r="AC120" s="115">
        <f>VLOOKUP(F120,informatieblad!$A$37:$D$41,4,FALSE)</f>
        <v>0</v>
      </c>
      <c r="AD120" s="180">
        <f>(MAX(K118,L118))</f>
        <v>0</v>
      </c>
      <c r="AE120" s="119">
        <f>(MAX(M118,N118))</f>
        <v>0</v>
      </c>
      <c r="AF120" s="119">
        <f>(MAX(K118,M118))</f>
        <v>0</v>
      </c>
      <c r="AG120" s="119">
        <f>(MAX(B118:C118))</f>
        <v>0</v>
      </c>
      <c r="AH120" s="119">
        <f>LOOKUP(AG120,informatieblad!$C$27:$C$32,informatieblad!$A$27:$A$32)</f>
        <v>0.5</v>
      </c>
      <c r="AI120" s="118">
        <f>VLOOKUP(AH120,informatieblad!$A$27:$M$32,6,FALSE)</f>
        <v>0</v>
      </c>
      <c r="AJ120" s="118">
        <f>VLOOKUP(AH120,informatieblad!$A$27:$M$32,8,FALSE)</f>
        <v>45.1248</v>
      </c>
      <c r="AK120" s="120">
        <f>VLOOKUP(AH120,informatieblad!$A$27:$M$32,13,FALSE)</f>
        <v>4</v>
      </c>
      <c r="AL120" s="121">
        <f>ROUND((AK120*W120),1)</f>
        <v>0</v>
      </c>
      <c r="AO120" s="111">
        <f>(IF(B119=AO118,((2*B118)+(2*C118)),IF(B119=AO119,((2*B118)+(2*C118)),0)))*C120</f>
        <v>0</v>
      </c>
      <c r="AP120" s="111">
        <f>(IF(B119=AP118,((2*B118)+(2*C118)),IF(B119=AP119,((2*B118)+(2*C118)),0)))*C120</f>
        <v>0</v>
      </c>
      <c r="AQ120" s="261">
        <f>(IF(B119=AQ118,((2*B118)+(2*C118)),IF(B119=AQ119,((2*B118)+(2*C118)),0)))*C120</f>
        <v>0</v>
      </c>
      <c r="AR120" s="283">
        <f>(IF(B119=AR118,((2*B118)+(2*C118)),0))*C120</f>
        <v>0</v>
      </c>
      <c r="AS120" s="64"/>
      <c r="AT120" s="268">
        <f>D118*C120</f>
        <v>0</v>
      </c>
      <c r="AU120" s="64"/>
      <c r="AV120" s="268">
        <f>(AG120+100)*C120</f>
        <v>0</v>
      </c>
      <c r="AW120" s="64"/>
      <c r="AX120" s="111" t="str">
        <f>IF(B119=informatieblad!$A$6,informatieblad!$B$6,IF(B119=informatieblad!$A$7,informatieblad!$B$7,IF(B119=informatieblad!$A$8,informatieblad!$B$8,IF(B119=informatieblad!$A$2,informatieblad!$B$2,IF(B119=informatieblad!$A$3,informatieblad!$B$3,IF(B119=informatieblad!$A$4,informatieblad!$B$4,IF(B119=informatieblad!$A$5,informatieblad!$B$5,"")))))))</f>
        <v/>
      </c>
      <c r="AY120" s="276">
        <f>IF(AX120=AY118,(4*C120),0)</f>
        <v>0</v>
      </c>
      <c r="AZ120" s="274">
        <f>IF(AX120=AZ118,(4*C120),0)</f>
        <v>0</v>
      </c>
    </row>
    <row r="121" spans="1:52" ht="5.0999999999999996" customHeight="1" thickBot="1">
      <c r="A121" s="231"/>
      <c r="B121" s="232"/>
      <c r="C121" s="232"/>
      <c r="D121" s="232"/>
      <c r="E121" s="232"/>
      <c r="F121" s="232"/>
      <c r="G121" s="232"/>
      <c r="H121" s="232"/>
      <c r="I121" s="233"/>
      <c r="J121" s="64"/>
    </row>
    <row r="122" spans="1:52" ht="15.75" thickBot="1">
      <c r="A122" s="494"/>
      <c r="B122" s="234"/>
      <c r="C122" s="234"/>
      <c r="D122" s="220">
        <f>(B122&gt;0)*$I$8</f>
        <v>0</v>
      </c>
      <c r="E122" s="221"/>
      <c r="F122" s="221"/>
      <c r="G122" s="221"/>
      <c r="H122" s="221"/>
      <c r="I122" s="222"/>
      <c r="J122" s="345" t="s">
        <v>20</v>
      </c>
      <c r="T122" s="97" t="s">
        <v>14</v>
      </c>
      <c r="U122" s="98" t="s">
        <v>27</v>
      </c>
      <c r="V122" s="98" t="s">
        <v>28</v>
      </c>
      <c r="W122" s="98" t="s">
        <v>27</v>
      </c>
      <c r="X122" s="98" t="s">
        <v>28</v>
      </c>
      <c r="Y122" s="98" t="s">
        <v>29</v>
      </c>
      <c r="Z122" s="66" t="s">
        <v>30</v>
      </c>
      <c r="AA122" s="153" t="s">
        <v>31</v>
      </c>
      <c r="AB122" s="153"/>
      <c r="AC122" s="153"/>
      <c r="AD122" s="154" t="s">
        <v>83</v>
      </c>
      <c r="AE122" s="100" t="s">
        <v>83</v>
      </c>
      <c r="AF122" s="100" t="s">
        <v>83</v>
      </c>
      <c r="AG122" s="100" t="s">
        <v>33</v>
      </c>
      <c r="AH122" s="100" t="s">
        <v>34</v>
      </c>
      <c r="AI122" s="98" t="s">
        <v>32</v>
      </c>
      <c r="AJ122" s="98" t="s">
        <v>32</v>
      </c>
      <c r="AK122" s="98" t="s">
        <v>50</v>
      </c>
      <c r="AL122" s="101" t="s">
        <v>36</v>
      </c>
      <c r="AO122" s="97" t="str">
        <f>informatieblad!$A$6</f>
        <v>FL20</v>
      </c>
      <c r="AP122" s="97" t="str">
        <f>informatieblad!$A$7</f>
        <v>FL30</v>
      </c>
      <c r="AQ122" s="99" t="str">
        <f>informatieblad!$A$8</f>
        <v>FL40</v>
      </c>
      <c r="AR122" s="266" t="str">
        <f>informatieblad!$A$5</f>
        <v>none</v>
      </c>
      <c r="AS122" s="64"/>
      <c r="AT122" s="266" t="s">
        <v>17</v>
      </c>
      <c r="AU122" s="64"/>
      <c r="AV122" s="266" t="s">
        <v>37</v>
      </c>
      <c r="AW122" s="64"/>
      <c r="AX122" s="269" t="s">
        <v>38</v>
      </c>
      <c r="AY122" s="272">
        <f>informatieblad!$B$3</f>
        <v>0</v>
      </c>
      <c r="AZ122" s="264">
        <f>informatieblad!$B$4</f>
        <v>0</v>
      </c>
    </row>
    <row r="123" spans="1:52">
      <c r="A123" s="475"/>
      <c r="B123" s="496" t="str">
        <f>IF($C124&gt;0,IF(MAX(B122,C122)&lt;informatieblad!$Q$4,informatieblad!$P$3,IF(MAX(B122,C122)&gt;informatieblad!$R$4,informatieblad!$P$5,informatieblad!$P$4)),"")</f>
        <v/>
      </c>
      <c r="C123" s="497"/>
      <c r="D123" s="223"/>
      <c r="E123" s="223"/>
      <c r="F123" s="224" t="str">
        <f>A122&amp;"-"&amp;informatieblad!$B$17&amp;"-"&amp;B122&amp;"-"&amp;C122&amp;"-"&amp;D122&amp;"-"&amp;B123&amp;"-"&amp;F124</f>
        <v>-RctE---0--Options None</v>
      </c>
      <c r="G123" s="235"/>
      <c r="H123" s="235"/>
      <c r="I123" s="236"/>
      <c r="J123" s="83"/>
      <c r="T123" s="103">
        <f>A122</f>
        <v>0</v>
      </c>
      <c r="U123" s="104" t="s">
        <v>39</v>
      </c>
      <c r="V123" s="104" t="s">
        <v>39</v>
      </c>
      <c r="W123" s="104" t="s">
        <v>40</v>
      </c>
      <c r="X123" s="104" t="s">
        <v>40</v>
      </c>
      <c r="Y123" s="104" t="s">
        <v>40</v>
      </c>
      <c r="Z123" s="105"/>
      <c r="AA123" s="155" t="s">
        <v>27</v>
      </c>
      <c r="AB123" s="155" t="s">
        <v>40</v>
      </c>
      <c r="AC123" s="155" t="s">
        <v>41</v>
      </c>
      <c r="AD123" s="156" t="s">
        <v>109</v>
      </c>
      <c r="AE123" s="104" t="s">
        <v>110</v>
      </c>
      <c r="AF123" s="107" t="s">
        <v>95</v>
      </c>
      <c r="AG123" s="107" t="s">
        <v>44</v>
      </c>
      <c r="AH123" s="107"/>
      <c r="AI123" s="104" t="s">
        <v>40</v>
      </c>
      <c r="AJ123" s="104" t="s">
        <v>41</v>
      </c>
      <c r="AK123" s="108"/>
      <c r="AL123" s="109"/>
      <c r="AO123" s="262" t="str">
        <f>informatieblad!$A$2</f>
        <v>FL20 loose</v>
      </c>
      <c r="AP123" s="262" t="str">
        <f>informatieblad!$A$3</f>
        <v>FL30 loose</v>
      </c>
      <c r="AQ123" s="263" t="str">
        <f>informatieblad!$A$4</f>
        <v>FL40 loose</v>
      </c>
      <c r="AR123" s="282"/>
      <c r="AS123" s="64"/>
      <c r="AT123" s="267"/>
      <c r="AU123" s="64"/>
      <c r="AV123" s="267"/>
      <c r="AW123" s="64"/>
      <c r="AX123" s="265" t="s">
        <v>47</v>
      </c>
      <c r="AY123" s="83" t="s">
        <v>23</v>
      </c>
      <c r="AZ123" s="273" t="s">
        <v>23</v>
      </c>
    </row>
    <row r="124" spans="1:52" ht="15.75" thickBot="1">
      <c r="A124" s="495"/>
      <c r="B124" s="227" t="s">
        <v>23</v>
      </c>
      <c r="C124" s="237"/>
      <c r="D124" s="229">
        <f>C124*V124</f>
        <v>0</v>
      </c>
      <c r="E124" s="230" t="s">
        <v>24</v>
      </c>
      <c r="F124" s="498" t="s">
        <v>25</v>
      </c>
      <c r="G124" s="452"/>
      <c r="H124" s="452"/>
      <c r="I124" s="453"/>
      <c r="J124" s="176"/>
      <c r="T124" s="111"/>
      <c r="U124" s="112">
        <f>(((((B122+C122))*D122)+(B122*C122))/1000000)</f>
        <v>0</v>
      </c>
      <c r="V124" s="112">
        <f>((IF(U124&lt;=informatieblad!$I$17,informatieblad!$I$17,IF(U124&gt;=informatieblad!$I$17,U124))))</f>
        <v>0.5</v>
      </c>
      <c r="W124" s="112">
        <f>(B122*C122)/1000000</f>
        <v>0</v>
      </c>
      <c r="X124" s="112">
        <f>((IF(W124&lt;=informatieblad!$H$17,informatieblad!$H$17,IF(W124&gt;=informatieblad!$H$17,W124))))</f>
        <v>0</v>
      </c>
      <c r="Y124" s="113">
        <f>((X124*AI124)+(X124*AB124))*C124</f>
        <v>0</v>
      </c>
      <c r="Z124" s="114">
        <f>((V124*AJ124)+(V124*AC124))*C124</f>
        <v>0</v>
      </c>
      <c r="AA124" s="115" t="str">
        <f>F124</f>
        <v>Options None</v>
      </c>
      <c r="AB124" s="115">
        <f>VLOOKUP(F124,informatieblad!$A$37:$D$41,2,FALSE)</f>
        <v>0</v>
      </c>
      <c r="AC124" s="115">
        <f>VLOOKUP(F124,informatieblad!$A$37:$D$41,4,FALSE)</f>
        <v>0</v>
      </c>
      <c r="AD124" s="180">
        <f>(MAX(K122,L122))</f>
        <v>0</v>
      </c>
      <c r="AE124" s="119">
        <f>(MAX(M122,N122))</f>
        <v>0</v>
      </c>
      <c r="AF124" s="119">
        <f>(MAX(K122,M122))</f>
        <v>0</v>
      </c>
      <c r="AG124" s="119">
        <f>(MAX(B122:C122))</f>
        <v>0</v>
      </c>
      <c r="AH124" s="119">
        <f>LOOKUP(AG124,informatieblad!$C$27:$C$32,informatieblad!$A$27:$A$32)</f>
        <v>0.5</v>
      </c>
      <c r="AI124" s="118">
        <f>VLOOKUP(AH124,informatieblad!$A$27:$M$32,6,FALSE)</f>
        <v>0</v>
      </c>
      <c r="AJ124" s="118">
        <f>VLOOKUP(AH124,informatieblad!$A$27:$M$32,8,FALSE)</f>
        <v>45.1248</v>
      </c>
      <c r="AK124" s="120">
        <f>VLOOKUP(AH124,informatieblad!$A$27:$M$32,13,FALSE)</f>
        <v>4</v>
      </c>
      <c r="AL124" s="121">
        <f>ROUND((AK124*W124),1)</f>
        <v>0</v>
      </c>
      <c r="AO124" s="111">
        <f>(IF(B123=AO122,((2*B122)+(2*C122)),IF(B123=AO123,((2*B122)+(2*C122)),0)))*C124</f>
        <v>0</v>
      </c>
      <c r="AP124" s="111">
        <f>(IF(B123=AP122,((2*B122)+(2*C122)),IF(B123=AP123,((2*B122)+(2*C122)),0)))*C124</f>
        <v>0</v>
      </c>
      <c r="AQ124" s="261">
        <f>(IF(B123=AQ122,((2*B122)+(2*C122)),IF(B123=AQ123,((2*B122)+(2*C122)),0)))*C124</f>
        <v>0</v>
      </c>
      <c r="AR124" s="283">
        <f>(IF(B123=AR122,((2*B122)+(2*C122)),0))*C124</f>
        <v>0</v>
      </c>
      <c r="AS124" s="64"/>
      <c r="AT124" s="268">
        <f>D122*C124</f>
        <v>0</v>
      </c>
      <c r="AU124" s="64"/>
      <c r="AV124" s="268">
        <f>(AG124+100)*C124</f>
        <v>0</v>
      </c>
      <c r="AW124" s="64"/>
      <c r="AX124" s="111" t="str">
        <f>IF(B123=informatieblad!$A$6,informatieblad!$B$6,IF(B123=informatieblad!$A$7,informatieblad!$B$7,IF(B123=informatieblad!$A$8,informatieblad!$B$8,IF(B123=informatieblad!$A$2,informatieblad!$B$2,IF(B123=informatieblad!$A$3,informatieblad!$B$3,IF(B123=informatieblad!$A$4,informatieblad!$B$4,IF(B123=informatieblad!$A$5,informatieblad!$B$5,"")))))))</f>
        <v/>
      </c>
      <c r="AY124" s="276">
        <f>IF(AX124=AY122,(4*C124),0)</f>
        <v>0</v>
      </c>
      <c r="AZ124" s="274">
        <f>IF(AX124=AZ122,(4*C124),0)</f>
        <v>0</v>
      </c>
    </row>
    <row r="125" spans="1:52" ht="5.0999999999999996" customHeight="1" thickBot="1">
      <c r="A125" s="231"/>
      <c r="B125" s="232"/>
      <c r="C125" s="232"/>
      <c r="D125" s="232"/>
      <c r="E125" s="232"/>
      <c r="F125" s="232"/>
      <c r="G125" s="232"/>
      <c r="H125" s="232"/>
      <c r="I125" s="233"/>
      <c r="J125" s="64"/>
    </row>
    <row r="126" spans="1:52" ht="15.75" thickBot="1">
      <c r="A126" s="494"/>
      <c r="B126" s="234"/>
      <c r="C126" s="234"/>
      <c r="D126" s="220">
        <f>(B126&gt;0)*$I$8</f>
        <v>0</v>
      </c>
      <c r="E126" s="221"/>
      <c r="F126" s="221"/>
      <c r="G126" s="221"/>
      <c r="H126" s="221"/>
      <c r="I126" s="222"/>
      <c r="J126" s="345" t="s">
        <v>20</v>
      </c>
      <c r="T126" s="97" t="s">
        <v>14</v>
      </c>
      <c r="U126" s="98" t="s">
        <v>27</v>
      </c>
      <c r="V126" s="98" t="s">
        <v>28</v>
      </c>
      <c r="W126" s="98" t="s">
        <v>27</v>
      </c>
      <c r="X126" s="98" t="s">
        <v>28</v>
      </c>
      <c r="Y126" s="98" t="s">
        <v>29</v>
      </c>
      <c r="Z126" s="66" t="s">
        <v>30</v>
      </c>
      <c r="AA126" s="153" t="s">
        <v>31</v>
      </c>
      <c r="AB126" s="153"/>
      <c r="AC126" s="153"/>
      <c r="AD126" s="154" t="s">
        <v>83</v>
      </c>
      <c r="AE126" s="100" t="s">
        <v>83</v>
      </c>
      <c r="AF126" s="100" t="s">
        <v>83</v>
      </c>
      <c r="AG126" s="100" t="s">
        <v>33</v>
      </c>
      <c r="AH126" s="100" t="s">
        <v>34</v>
      </c>
      <c r="AI126" s="98" t="s">
        <v>32</v>
      </c>
      <c r="AJ126" s="98" t="s">
        <v>32</v>
      </c>
      <c r="AK126" s="98" t="s">
        <v>50</v>
      </c>
      <c r="AL126" s="101" t="s">
        <v>36</v>
      </c>
      <c r="AO126" s="97" t="str">
        <f>informatieblad!$A$6</f>
        <v>FL20</v>
      </c>
      <c r="AP126" s="97" t="str">
        <f>informatieblad!$A$7</f>
        <v>FL30</v>
      </c>
      <c r="AQ126" s="99" t="str">
        <f>informatieblad!$A$8</f>
        <v>FL40</v>
      </c>
      <c r="AR126" s="266" t="str">
        <f>informatieblad!$A$5</f>
        <v>none</v>
      </c>
      <c r="AS126" s="64"/>
      <c r="AT126" s="266" t="s">
        <v>17</v>
      </c>
      <c r="AU126" s="64"/>
      <c r="AV126" s="266" t="s">
        <v>37</v>
      </c>
      <c r="AW126" s="64"/>
      <c r="AX126" s="269" t="s">
        <v>38</v>
      </c>
      <c r="AY126" s="272">
        <f>informatieblad!$B$3</f>
        <v>0</v>
      </c>
      <c r="AZ126" s="264">
        <f>informatieblad!$B$4</f>
        <v>0</v>
      </c>
    </row>
    <row r="127" spans="1:52">
      <c r="A127" s="475"/>
      <c r="B127" s="496" t="str">
        <f>IF($C128&gt;0,IF(MAX(B126,C126)&lt;informatieblad!$Q$4,informatieblad!$P$3,IF(MAX(B126,C126)&gt;informatieblad!$R$4,informatieblad!$P$5,informatieblad!$P$4)),"")</f>
        <v/>
      </c>
      <c r="C127" s="497"/>
      <c r="D127" s="223"/>
      <c r="E127" s="223"/>
      <c r="F127" s="224" t="str">
        <f>A126&amp;"-"&amp;informatieblad!$B$17&amp;"-"&amp;B126&amp;"-"&amp;C126&amp;"-"&amp;D126&amp;"-"&amp;B127&amp;"-"&amp;F128</f>
        <v>-RctE---0--Options None</v>
      </c>
      <c r="G127" s="235"/>
      <c r="H127" s="235"/>
      <c r="I127" s="236"/>
      <c r="J127" s="83"/>
      <c r="T127" s="103">
        <f>A126</f>
        <v>0</v>
      </c>
      <c r="U127" s="104" t="s">
        <v>39</v>
      </c>
      <c r="V127" s="104" t="s">
        <v>39</v>
      </c>
      <c r="W127" s="104" t="s">
        <v>40</v>
      </c>
      <c r="X127" s="104" t="s">
        <v>40</v>
      </c>
      <c r="Y127" s="104" t="s">
        <v>40</v>
      </c>
      <c r="Z127" s="105"/>
      <c r="AA127" s="155" t="s">
        <v>27</v>
      </c>
      <c r="AB127" s="155" t="s">
        <v>40</v>
      </c>
      <c r="AC127" s="155" t="s">
        <v>41</v>
      </c>
      <c r="AD127" s="156" t="s">
        <v>109</v>
      </c>
      <c r="AE127" s="104" t="s">
        <v>110</v>
      </c>
      <c r="AF127" s="107" t="s">
        <v>95</v>
      </c>
      <c r="AG127" s="107" t="s">
        <v>44</v>
      </c>
      <c r="AH127" s="107"/>
      <c r="AI127" s="104" t="s">
        <v>40</v>
      </c>
      <c r="AJ127" s="104" t="s">
        <v>41</v>
      </c>
      <c r="AK127" s="108"/>
      <c r="AL127" s="109"/>
      <c r="AO127" s="262" t="str">
        <f>informatieblad!$A$2</f>
        <v>FL20 loose</v>
      </c>
      <c r="AP127" s="262" t="str">
        <f>informatieblad!$A$3</f>
        <v>FL30 loose</v>
      </c>
      <c r="AQ127" s="263" t="str">
        <f>informatieblad!$A$4</f>
        <v>FL40 loose</v>
      </c>
      <c r="AR127" s="282"/>
      <c r="AS127" s="64"/>
      <c r="AT127" s="267"/>
      <c r="AU127" s="64"/>
      <c r="AV127" s="267"/>
      <c r="AW127" s="64"/>
      <c r="AX127" s="265" t="s">
        <v>47</v>
      </c>
      <c r="AY127" s="83" t="s">
        <v>23</v>
      </c>
      <c r="AZ127" s="273" t="s">
        <v>23</v>
      </c>
    </row>
    <row r="128" spans="1:52" ht="15.75" thickBot="1">
      <c r="A128" s="495"/>
      <c r="B128" s="227" t="s">
        <v>23</v>
      </c>
      <c r="C128" s="237"/>
      <c r="D128" s="229">
        <f>C128*V128</f>
        <v>0</v>
      </c>
      <c r="E128" s="230" t="s">
        <v>24</v>
      </c>
      <c r="F128" s="498" t="s">
        <v>25</v>
      </c>
      <c r="G128" s="452"/>
      <c r="H128" s="452"/>
      <c r="I128" s="453"/>
      <c r="J128" s="176"/>
      <c r="T128" s="111"/>
      <c r="U128" s="112">
        <f>(((((B126+C126))*D126)+(B126*C126))/1000000)</f>
        <v>0</v>
      </c>
      <c r="V128" s="112">
        <f>((IF(U128&lt;=informatieblad!$I$17,informatieblad!$I$17,IF(U128&gt;=informatieblad!$I$17,U128))))</f>
        <v>0.5</v>
      </c>
      <c r="W128" s="112">
        <f>(B126*C126)/1000000</f>
        <v>0</v>
      </c>
      <c r="X128" s="112">
        <f>((IF(W128&lt;=informatieblad!$H$17,informatieblad!$H$17,IF(W128&gt;=informatieblad!$H$17,W128))))</f>
        <v>0</v>
      </c>
      <c r="Y128" s="113">
        <f>((X128*AI128)+(X128*AB128))*C128</f>
        <v>0</v>
      </c>
      <c r="Z128" s="114">
        <f>((V128*AJ128)+(V128*AC128))*C128</f>
        <v>0</v>
      </c>
      <c r="AA128" s="115" t="str">
        <f>F128</f>
        <v>Options None</v>
      </c>
      <c r="AB128" s="115">
        <f>VLOOKUP(F128,informatieblad!$A$37:$D$41,2,FALSE)</f>
        <v>0</v>
      </c>
      <c r="AC128" s="115">
        <f>VLOOKUP(F128,informatieblad!$A$37:$D$41,4,FALSE)</f>
        <v>0</v>
      </c>
      <c r="AD128" s="180">
        <f>(MAX(K126,L126))</f>
        <v>0</v>
      </c>
      <c r="AE128" s="119">
        <f>(MAX(M126,N126))</f>
        <v>0</v>
      </c>
      <c r="AF128" s="119">
        <f>(MAX(K126,M126))</f>
        <v>0</v>
      </c>
      <c r="AG128" s="119">
        <f>(MAX(B126:C126))</f>
        <v>0</v>
      </c>
      <c r="AH128" s="119">
        <f>LOOKUP(AG128,informatieblad!$C$27:$C$32,informatieblad!$A$27:$A$32)</f>
        <v>0.5</v>
      </c>
      <c r="AI128" s="118">
        <f>VLOOKUP(AH128,informatieblad!$A$27:$M$32,6,FALSE)</f>
        <v>0</v>
      </c>
      <c r="AJ128" s="118">
        <f>VLOOKUP(AH128,informatieblad!$A$27:$M$32,8,FALSE)</f>
        <v>45.1248</v>
      </c>
      <c r="AK128" s="120">
        <f>VLOOKUP(AH128,informatieblad!$A$27:$M$32,13,FALSE)</f>
        <v>4</v>
      </c>
      <c r="AL128" s="121">
        <f>ROUND((AK128*W128),1)</f>
        <v>0</v>
      </c>
      <c r="AO128" s="111">
        <f>(IF(B127=AO126,((2*B126)+(2*C126)),IF(B127=AO127,((2*B126)+(2*C126)),0)))*C128</f>
        <v>0</v>
      </c>
      <c r="AP128" s="111">
        <f>(IF(B127=AP126,((2*B126)+(2*C126)),IF(B127=AP127,((2*B126)+(2*C126)),0)))*C128</f>
        <v>0</v>
      </c>
      <c r="AQ128" s="261">
        <f>(IF(B127=AQ126,((2*B126)+(2*C126)),IF(B127=AQ127,((2*B126)+(2*C126)),0)))*C128</f>
        <v>0</v>
      </c>
      <c r="AR128" s="283">
        <f>(IF(B127=AR126,((2*B126)+(2*C126)),0))*C128</f>
        <v>0</v>
      </c>
      <c r="AS128" s="64"/>
      <c r="AT128" s="268">
        <f>D126*C128</f>
        <v>0</v>
      </c>
      <c r="AU128" s="64"/>
      <c r="AV128" s="268">
        <f>(AG128+100)*C128</f>
        <v>0</v>
      </c>
      <c r="AW128" s="64"/>
      <c r="AX128" s="111" t="str">
        <f>IF(B127=informatieblad!$A$6,informatieblad!$B$6,IF(B127=informatieblad!$A$7,informatieblad!$B$7,IF(B127=informatieblad!$A$8,informatieblad!$B$8,IF(B127=informatieblad!$A$2,informatieblad!$B$2,IF(B127=informatieblad!$A$3,informatieblad!$B$3,IF(B127=informatieblad!$A$4,informatieblad!$B$4,IF(B127=informatieblad!$A$5,informatieblad!$B$5,"")))))))</f>
        <v/>
      </c>
      <c r="AY128" s="276">
        <f>IF(AX128=AY126,(4*C128),0)</f>
        <v>0</v>
      </c>
      <c r="AZ128" s="274">
        <f>IF(AX128=AZ126,(4*C128),0)</f>
        <v>0</v>
      </c>
    </row>
    <row r="129" spans="1:52" ht="5.0999999999999996" customHeight="1" thickBot="1">
      <c r="A129" s="231"/>
      <c r="B129" s="232"/>
      <c r="C129" s="232"/>
      <c r="D129" s="232"/>
      <c r="E129" s="232"/>
      <c r="F129" s="232"/>
      <c r="G129" s="232"/>
      <c r="H129" s="232"/>
      <c r="I129" s="233"/>
      <c r="J129" s="64"/>
    </row>
    <row r="130" spans="1:52" ht="15.75" thickBot="1">
      <c r="A130" s="494"/>
      <c r="B130" s="234"/>
      <c r="C130" s="234"/>
      <c r="D130" s="220">
        <f>(B130&gt;0)*$I$8</f>
        <v>0</v>
      </c>
      <c r="E130" s="221"/>
      <c r="F130" s="221"/>
      <c r="G130" s="221"/>
      <c r="H130" s="221"/>
      <c r="I130" s="222"/>
      <c r="J130" s="345" t="s">
        <v>20</v>
      </c>
      <c r="T130" s="97" t="s">
        <v>14</v>
      </c>
      <c r="U130" s="98" t="s">
        <v>27</v>
      </c>
      <c r="V130" s="98" t="s">
        <v>28</v>
      </c>
      <c r="W130" s="98" t="s">
        <v>27</v>
      </c>
      <c r="X130" s="98" t="s">
        <v>28</v>
      </c>
      <c r="Y130" s="98" t="s">
        <v>29</v>
      </c>
      <c r="Z130" s="66" t="s">
        <v>30</v>
      </c>
      <c r="AA130" s="153" t="s">
        <v>31</v>
      </c>
      <c r="AB130" s="153"/>
      <c r="AC130" s="153"/>
      <c r="AD130" s="154" t="s">
        <v>83</v>
      </c>
      <c r="AE130" s="100" t="s">
        <v>83</v>
      </c>
      <c r="AF130" s="100" t="s">
        <v>83</v>
      </c>
      <c r="AG130" s="100" t="s">
        <v>33</v>
      </c>
      <c r="AH130" s="100" t="s">
        <v>34</v>
      </c>
      <c r="AI130" s="98" t="s">
        <v>32</v>
      </c>
      <c r="AJ130" s="98" t="s">
        <v>32</v>
      </c>
      <c r="AK130" s="98" t="s">
        <v>50</v>
      </c>
      <c r="AL130" s="101" t="s">
        <v>36</v>
      </c>
      <c r="AO130" s="97" t="str">
        <f>informatieblad!$A$6</f>
        <v>FL20</v>
      </c>
      <c r="AP130" s="97" t="str">
        <f>informatieblad!$A$7</f>
        <v>FL30</v>
      </c>
      <c r="AQ130" s="99" t="str">
        <f>informatieblad!$A$8</f>
        <v>FL40</v>
      </c>
      <c r="AR130" s="266" t="str">
        <f>informatieblad!$A$5</f>
        <v>none</v>
      </c>
      <c r="AS130" s="64"/>
      <c r="AT130" s="266" t="s">
        <v>17</v>
      </c>
      <c r="AU130" s="64"/>
      <c r="AV130" s="266" t="s">
        <v>37</v>
      </c>
      <c r="AW130" s="64"/>
      <c r="AX130" s="269" t="s">
        <v>38</v>
      </c>
      <c r="AY130" s="272">
        <f>informatieblad!$B$3</f>
        <v>0</v>
      </c>
      <c r="AZ130" s="264">
        <f>informatieblad!$B$4</f>
        <v>0</v>
      </c>
    </row>
    <row r="131" spans="1:52">
      <c r="A131" s="475"/>
      <c r="B131" s="496" t="str">
        <f>IF($C132&gt;0,IF(MAX(B130,C130)&lt;informatieblad!$Q$4,informatieblad!$P$3,IF(MAX(B130,C130)&gt;informatieblad!$R$4,informatieblad!$P$5,informatieblad!$P$4)),"")</f>
        <v/>
      </c>
      <c r="C131" s="497"/>
      <c r="D131" s="223"/>
      <c r="E131" s="223"/>
      <c r="F131" s="224" t="str">
        <f>A130&amp;"-"&amp;informatieblad!$B$17&amp;"-"&amp;B130&amp;"-"&amp;C130&amp;"-"&amp;D130&amp;"-"&amp;B131&amp;"-"&amp;F132</f>
        <v>-RctE---0--Options None</v>
      </c>
      <c r="G131" s="235"/>
      <c r="H131" s="235"/>
      <c r="I131" s="236"/>
      <c r="J131" s="83"/>
      <c r="T131" s="103">
        <f>A130</f>
        <v>0</v>
      </c>
      <c r="U131" s="104" t="s">
        <v>39</v>
      </c>
      <c r="V131" s="104" t="s">
        <v>39</v>
      </c>
      <c r="W131" s="104" t="s">
        <v>40</v>
      </c>
      <c r="X131" s="104" t="s">
        <v>40</v>
      </c>
      <c r="Y131" s="104" t="s">
        <v>40</v>
      </c>
      <c r="Z131" s="105"/>
      <c r="AA131" s="155" t="s">
        <v>27</v>
      </c>
      <c r="AB131" s="155" t="s">
        <v>40</v>
      </c>
      <c r="AC131" s="155" t="s">
        <v>41</v>
      </c>
      <c r="AD131" s="156" t="s">
        <v>109</v>
      </c>
      <c r="AE131" s="104" t="s">
        <v>110</v>
      </c>
      <c r="AF131" s="107" t="s">
        <v>95</v>
      </c>
      <c r="AG131" s="107" t="s">
        <v>44</v>
      </c>
      <c r="AH131" s="107"/>
      <c r="AI131" s="104" t="s">
        <v>40</v>
      </c>
      <c r="AJ131" s="104" t="s">
        <v>41</v>
      </c>
      <c r="AK131" s="108"/>
      <c r="AL131" s="109"/>
      <c r="AO131" s="262" t="str">
        <f>informatieblad!$A$2</f>
        <v>FL20 loose</v>
      </c>
      <c r="AP131" s="262" t="str">
        <f>informatieblad!$A$3</f>
        <v>FL30 loose</v>
      </c>
      <c r="AQ131" s="263" t="str">
        <f>informatieblad!$A$4</f>
        <v>FL40 loose</v>
      </c>
      <c r="AR131" s="282"/>
      <c r="AS131" s="64"/>
      <c r="AT131" s="267"/>
      <c r="AU131" s="64"/>
      <c r="AV131" s="267"/>
      <c r="AW131" s="64"/>
      <c r="AX131" s="265" t="s">
        <v>47</v>
      </c>
      <c r="AY131" s="83" t="s">
        <v>23</v>
      </c>
      <c r="AZ131" s="273" t="s">
        <v>23</v>
      </c>
    </row>
    <row r="132" spans="1:52" ht="15.75" thickBot="1">
      <c r="A132" s="495"/>
      <c r="B132" s="227" t="s">
        <v>23</v>
      </c>
      <c r="C132" s="237"/>
      <c r="D132" s="229">
        <f>C132*V132</f>
        <v>0</v>
      </c>
      <c r="E132" s="230" t="s">
        <v>24</v>
      </c>
      <c r="F132" s="498" t="s">
        <v>25</v>
      </c>
      <c r="G132" s="452"/>
      <c r="H132" s="452"/>
      <c r="I132" s="453"/>
      <c r="J132" s="176"/>
      <c r="T132" s="111"/>
      <c r="U132" s="112">
        <f>(((((B130+C130))*D130)+(B130*C130))/1000000)</f>
        <v>0</v>
      </c>
      <c r="V132" s="112">
        <f>((IF(U132&lt;=informatieblad!$I$17,informatieblad!$I$17,IF(U132&gt;=informatieblad!$I$17,U132))))</f>
        <v>0.5</v>
      </c>
      <c r="W132" s="112">
        <f>(B130*C130)/1000000</f>
        <v>0</v>
      </c>
      <c r="X132" s="112">
        <f>((IF(W132&lt;=informatieblad!$H$17,informatieblad!$H$17,IF(W132&gt;=informatieblad!$H$17,W132))))</f>
        <v>0</v>
      </c>
      <c r="Y132" s="113">
        <f>((X132*AI132)+(X132*AB132))*C132</f>
        <v>0</v>
      </c>
      <c r="Z132" s="114">
        <f>((V132*AJ132)+(V132*AC132))*C132</f>
        <v>0</v>
      </c>
      <c r="AA132" s="115" t="str">
        <f>F132</f>
        <v>Options None</v>
      </c>
      <c r="AB132" s="115">
        <f>VLOOKUP(F132,informatieblad!$A$37:$D$41,2,FALSE)</f>
        <v>0</v>
      </c>
      <c r="AC132" s="115">
        <f>VLOOKUP(F132,informatieblad!$A$37:$D$41,4,FALSE)</f>
        <v>0</v>
      </c>
      <c r="AD132" s="180">
        <f>(MAX(K130,L130))</f>
        <v>0</v>
      </c>
      <c r="AE132" s="119">
        <f>(MAX(M130,N130))</f>
        <v>0</v>
      </c>
      <c r="AF132" s="119">
        <f>(MAX(K130,M130))</f>
        <v>0</v>
      </c>
      <c r="AG132" s="119">
        <f>(MAX(B130:C130))</f>
        <v>0</v>
      </c>
      <c r="AH132" s="119">
        <f>LOOKUP(AG132,informatieblad!$C$27:$C$32,informatieblad!$A$27:$A$32)</f>
        <v>0.5</v>
      </c>
      <c r="AI132" s="118">
        <f>VLOOKUP(AH132,informatieblad!$A$27:$M$32,6,FALSE)</f>
        <v>0</v>
      </c>
      <c r="AJ132" s="118">
        <f>VLOOKUP(AH132,informatieblad!$A$27:$M$32,8,FALSE)</f>
        <v>45.1248</v>
      </c>
      <c r="AK132" s="120">
        <f>VLOOKUP(AH132,informatieblad!$A$27:$M$32,13,FALSE)</f>
        <v>4</v>
      </c>
      <c r="AL132" s="121">
        <f>ROUND((AK132*W132),1)</f>
        <v>0</v>
      </c>
      <c r="AO132" s="111">
        <f>(IF(B131=AO130,((2*B130)+(2*C130)),IF(B131=AO131,((2*B130)+(2*C130)),0)))*C132</f>
        <v>0</v>
      </c>
      <c r="AP132" s="111">
        <f>(IF(B131=AP130,((2*B130)+(2*C130)),IF(B131=AP131,((2*B130)+(2*C130)),0)))*C132</f>
        <v>0</v>
      </c>
      <c r="AQ132" s="261">
        <f>(IF(B131=AQ130,((2*B130)+(2*C130)),IF(B131=AQ131,((2*B130)+(2*C130)),0)))*C132</f>
        <v>0</v>
      </c>
      <c r="AR132" s="283">
        <f>(IF(B131=AR130,((2*B130)+(2*C130)),0))*C132</f>
        <v>0</v>
      </c>
      <c r="AS132" s="64"/>
      <c r="AT132" s="268">
        <f>D130*C132</f>
        <v>0</v>
      </c>
      <c r="AU132" s="64"/>
      <c r="AV132" s="268">
        <f>(AG132+100)*C132</f>
        <v>0</v>
      </c>
      <c r="AW132" s="64"/>
      <c r="AX132" s="111" t="str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/>
      </c>
      <c r="AY132" s="276">
        <f>IF(AX132=AY130,(4*C132),0)</f>
        <v>0</v>
      </c>
      <c r="AZ132" s="274">
        <f>IF(AX132=AZ130,(4*C132),0)</f>
        <v>0</v>
      </c>
    </row>
    <row r="133" spans="1:52" ht="5.0999999999999996" customHeight="1" thickBot="1">
      <c r="A133" s="231"/>
      <c r="B133" s="232"/>
      <c r="C133" s="232"/>
      <c r="D133" s="232"/>
      <c r="E133" s="232"/>
      <c r="F133" s="232"/>
      <c r="G133" s="232"/>
      <c r="H133" s="232"/>
      <c r="I133" s="233"/>
      <c r="J133" s="64"/>
    </row>
    <row r="134" spans="1:52" ht="15.75" thickBot="1">
      <c r="A134" s="494"/>
      <c r="B134" s="234"/>
      <c r="C134" s="234"/>
      <c r="D134" s="220">
        <f>(B134&gt;0)*$I$8</f>
        <v>0</v>
      </c>
      <c r="E134" s="221"/>
      <c r="F134" s="221"/>
      <c r="G134" s="221"/>
      <c r="H134" s="221"/>
      <c r="I134" s="222"/>
      <c r="J134" s="345" t="s">
        <v>20</v>
      </c>
      <c r="T134" s="97" t="s">
        <v>14</v>
      </c>
      <c r="U134" s="98" t="s">
        <v>27</v>
      </c>
      <c r="V134" s="98" t="s">
        <v>28</v>
      </c>
      <c r="W134" s="98" t="s">
        <v>27</v>
      </c>
      <c r="X134" s="98" t="s">
        <v>28</v>
      </c>
      <c r="Y134" s="98" t="s">
        <v>29</v>
      </c>
      <c r="Z134" s="66" t="s">
        <v>30</v>
      </c>
      <c r="AA134" s="153" t="s">
        <v>31</v>
      </c>
      <c r="AB134" s="153"/>
      <c r="AC134" s="153"/>
      <c r="AD134" s="154" t="s">
        <v>83</v>
      </c>
      <c r="AE134" s="100" t="s">
        <v>83</v>
      </c>
      <c r="AF134" s="100" t="s">
        <v>83</v>
      </c>
      <c r="AG134" s="100" t="s">
        <v>33</v>
      </c>
      <c r="AH134" s="100" t="s">
        <v>34</v>
      </c>
      <c r="AI134" s="98" t="s">
        <v>32</v>
      </c>
      <c r="AJ134" s="98" t="s">
        <v>32</v>
      </c>
      <c r="AK134" s="98" t="s">
        <v>50</v>
      </c>
      <c r="AL134" s="101" t="s">
        <v>36</v>
      </c>
      <c r="AO134" s="97" t="str">
        <f>informatieblad!$A$6</f>
        <v>FL20</v>
      </c>
      <c r="AP134" s="97" t="str">
        <f>informatieblad!$A$7</f>
        <v>FL30</v>
      </c>
      <c r="AQ134" s="99" t="str">
        <f>informatieblad!$A$8</f>
        <v>FL40</v>
      </c>
      <c r="AR134" s="266" t="str">
        <f>informatieblad!$A$5</f>
        <v>none</v>
      </c>
      <c r="AS134" s="64"/>
      <c r="AT134" s="266" t="s">
        <v>17</v>
      </c>
      <c r="AU134" s="64"/>
      <c r="AV134" s="266" t="s">
        <v>37</v>
      </c>
      <c r="AW134" s="64"/>
      <c r="AX134" s="269" t="s">
        <v>38</v>
      </c>
      <c r="AY134" s="272">
        <f>informatieblad!$B$3</f>
        <v>0</v>
      </c>
      <c r="AZ134" s="264">
        <f>informatieblad!$B$4</f>
        <v>0</v>
      </c>
    </row>
    <row r="135" spans="1:52">
      <c r="A135" s="475"/>
      <c r="B135" s="496" t="str">
        <f>IF($C136&gt;0,IF(MAX(B134,C134)&lt;informatieblad!$Q$4,informatieblad!$P$3,IF(MAX(B134,C134)&gt;informatieblad!$R$4,informatieblad!$P$5,informatieblad!$P$4)),"")</f>
        <v/>
      </c>
      <c r="C135" s="497"/>
      <c r="D135" s="223"/>
      <c r="E135" s="223"/>
      <c r="F135" s="224" t="str">
        <f>A134&amp;"-"&amp;informatieblad!$B$17&amp;"-"&amp;B134&amp;"-"&amp;C134&amp;"-"&amp;D134&amp;"-"&amp;B135&amp;"-"&amp;F136</f>
        <v>-RctE---0--Options None</v>
      </c>
      <c r="G135" s="235"/>
      <c r="H135" s="235"/>
      <c r="I135" s="236"/>
      <c r="J135" s="83"/>
      <c r="T135" s="103">
        <f>A134</f>
        <v>0</v>
      </c>
      <c r="U135" s="104" t="s">
        <v>39</v>
      </c>
      <c r="V135" s="104" t="s">
        <v>39</v>
      </c>
      <c r="W135" s="104" t="s">
        <v>40</v>
      </c>
      <c r="X135" s="104" t="s">
        <v>40</v>
      </c>
      <c r="Y135" s="104" t="s">
        <v>40</v>
      </c>
      <c r="Z135" s="105"/>
      <c r="AA135" s="155" t="s">
        <v>27</v>
      </c>
      <c r="AB135" s="155" t="s">
        <v>40</v>
      </c>
      <c r="AC135" s="155" t="s">
        <v>41</v>
      </c>
      <c r="AD135" s="156" t="s">
        <v>109</v>
      </c>
      <c r="AE135" s="104" t="s">
        <v>110</v>
      </c>
      <c r="AF135" s="107" t="s">
        <v>95</v>
      </c>
      <c r="AG135" s="107" t="s">
        <v>44</v>
      </c>
      <c r="AH135" s="107"/>
      <c r="AI135" s="104" t="s">
        <v>40</v>
      </c>
      <c r="AJ135" s="104" t="s">
        <v>41</v>
      </c>
      <c r="AK135" s="108"/>
      <c r="AL135" s="109"/>
      <c r="AO135" s="262" t="str">
        <f>informatieblad!$A$2</f>
        <v>FL20 loose</v>
      </c>
      <c r="AP135" s="262" t="str">
        <f>informatieblad!$A$3</f>
        <v>FL30 loose</v>
      </c>
      <c r="AQ135" s="263" t="str">
        <f>informatieblad!$A$4</f>
        <v>FL40 loose</v>
      </c>
      <c r="AR135" s="282"/>
      <c r="AS135" s="64"/>
      <c r="AT135" s="267"/>
      <c r="AU135" s="64"/>
      <c r="AV135" s="267"/>
      <c r="AW135" s="64"/>
      <c r="AX135" s="265" t="s">
        <v>47</v>
      </c>
      <c r="AY135" s="83" t="s">
        <v>23</v>
      </c>
      <c r="AZ135" s="273" t="s">
        <v>23</v>
      </c>
    </row>
    <row r="136" spans="1:52" ht="15.75" thickBot="1">
      <c r="A136" s="495"/>
      <c r="B136" s="227" t="s">
        <v>23</v>
      </c>
      <c r="C136" s="237"/>
      <c r="D136" s="229">
        <f>C136*V136</f>
        <v>0</v>
      </c>
      <c r="E136" s="230" t="s">
        <v>24</v>
      </c>
      <c r="F136" s="498" t="s">
        <v>25</v>
      </c>
      <c r="G136" s="452"/>
      <c r="H136" s="452"/>
      <c r="I136" s="453"/>
      <c r="J136" s="176"/>
      <c r="T136" s="111"/>
      <c r="U136" s="112">
        <f>(((((B134+C134))*D134)+(B134*C134))/1000000)</f>
        <v>0</v>
      </c>
      <c r="V136" s="112">
        <f>((IF(U136&lt;=informatieblad!$I$17,informatieblad!$I$17,IF(U136&gt;=informatieblad!$I$17,U136))))</f>
        <v>0.5</v>
      </c>
      <c r="W136" s="112">
        <f>(B134*C134)/1000000</f>
        <v>0</v>
      </c>
      <c r="X136" s="112">
        <f>((IF(W136&lt;=informatieblad!$H$17,informatieblad!$H$17,IF(W136&gt;=informatieblad!$H$17,W136))))</f>
        <v>0</v>
      </c>
      <c r="Y136" s="113">
        <f>((X136*AI136)+(X136*AB136))*C136</f>
        <v>0</v>
      </c>
      <c r="Z136" s="114">
        <f>((V136*AJ136)+(V136*AC136))*C136</f>
        <v>0</v>
      </c>
      <c r="AA136" s="115" t="str">
        <f>F136</f>
        <v>Options None</v>
      </c>
      <c r="AB136" s="115">
        <f>VLOOKUP(F136,informatieblad!$A$37:$D$41,2,FALSE)</f>
        <v>0</v>
      </c>
      <c r="AC136" s="115">
        <f>VLOOKUP(F136,informatieblad!$A$37:$D$41,4,FALSE)</f>
        <v>0</v>
      </c>
      <c r="AD136" s="180">
        <f>(MAX(K134,L134))</f>
        <v>0</v>
      </c>
      <c r="AE136" s="119">
        <f>(MAX(M134,N134))</f>
        <v>0</v>
      </c>
      <c r="AF136" s="119">
        <f>(MAX(K134,M134))</f>
        <v>0</v>
      </c>
      <c r="AG136" s="119">
        <f>(MAX(B134:C134))</f>
        <v>0</v>
      </c>
      <c r="AH136" s="119">
        <f>LOOKUP(AG136,informatieblad!$C$27:$C$32,informatieblad!$A$27:$A$32)</f>
        <v>0.5</v>
      </c>
      <c r="AI136" s="118">
        <f>VLOOKUP(AH136,informatieblad!$A$27:$M$32,6,FALSE)</f>
        <v>0</v>
      </c>
      <c r="AJ136" s="118">
        <f>VLOOKUP(AH136,informatieblad!$A$27:$M$32,8,FALSE)</f>
        <v>45.1248</v>
      </c>
      <c r="AK136" s="120">
        <f>VLOOKUP(AH136,informatieblad!$A$27:$M$32,13,FALSE)</f>
        <v>4</v>
      </c>
      <c r="AL136" s="121">
        <f>ROUND((AK136*W136),1)</f>
        <v>0</v>
      </c>
      <c r="AO136" s="111">
        <f>(IF(B135=AO134,((2*B134)+(2*C134)),IF(B135=AO135,((2*B134)+(2*C134)),0)))*C136</f>
        <v>0</v>
      </c>
      <c r="AP136" s="111">
        <f>(IF(B135=AP134,((2*B134)+(2*C134)),IF(B135=AP135,((2*B134)+(2*C134)),0)))*C136</f>
        <v>0</v>
      </c>
      <c r="AQ136" s="261">
        <f>(IF(B135=AQ134,((2*B134)+(2*C134)),IF(B135=AQ135,((2*B134)+(2*C134)),0)))*C136</f>
        <v>0</v>
      </c>
      <c r="AR136" s="283">
        <f>(IF(B135=AR134,((2*B134)+(2*C134)),0))*C136</f>
        <v>0</v>
      </c>
      <c r="AS136" s="64"/>
      <c r="AT136" s="268">
        <f>D134*C136</f>
        <v>0</v>
      </c>
      <c r="AU136" s="64"/>
      <c r="AV136" s="268">
        <f>(AG136+100)*C136</f>
        <v>0</v>
      </c>
      <c r="AW136" s="64"/>
      <c r="AX136" s="111" t="str">
        <f>IF(B135=informatieblad!$A$6,informatieblad!$B$6,IF(B135=informatieblad!$A$7,informatieblad!$B$7,IF(B135=informatieblad!$A$8,informatieblad!$B$8,IF(B135=informatieblad!$A$2,informatieblad!$B$2,IF(B135=informatieblad!$A$3,informatieblad!$B$3,IF(B135=informatieblad!$A$4,informatieblad!$B$4,IF(B135=informatieblad!$A$5,informatieblad!$B$5,"")))))))</f>
        <v/>
      </c>
      <c r="AY136" s="276">
        <f>IF(AX136=AY134,(4*C136),0)</f>
        <v>0</v>
      </c>
      <c r="AZ136" s="274">
        <f>IF(AX136=AZ134,(4*C136),0)</f>
        <v>0</v>
      </c>
    </row>
    <row r="137" spans="1:52" ht="5.0999999999999996" customHeight="1" thickBot="1">
      <c r="A137" s="231"/>
      <c r="B137" s="232"/>
      <c r="C137" s="232"/>
      <c r="D137" s="232"/>
      <c r="E137" s="232"/>
      <c r="F137" s="232"/>
      <c r="G137" s="232"/>
      <c r="H137" s="232"/>
      <c r="I137" s="233"/>
      <c r="J137" s="64"/>
    </row>
    <row r="138" spans="1:52" ht="15.75" thickBot="1">
      <c r="A138" s="494"/>
      <c r="B138" s="234"/>
      <c r="C138" s="234"/>
      <c r="D138" s="220">
        <f>(B138&gt;0)*$I$8</f>
        <v>0</v>
      </c>
      <c r="E138" s="221"/>
      <c r="F138" s="221"/>
      <c r="G138" s="221"/>
      <c r="H138" s="221"/>
      <c r="I138" s="222"/>
      <c r="J138" s="345" t="s">
        <v>20</v>
      </c>
      <c r="T138" s="97" t="s">
        <v>14</v>
      </c>
      <c r="U138" s="98" t="s">
        <v>27</v>
      </c>
      <c r="V138" s="98" t="s">
        <v>28</v>
      </c>
      <c r="W138" s="98" t="s">
        <v>27</v>
      </c>
      <c r="X138" s="98" t="s">
        <v>28</v>
      </c>
      <c r="Y138" s="98" t="s">
        <v>29</v>
      </c>
      <c r="Z138" s="66" t="s">
        <v>30</v>
      </c>
      <c r="AA138" s="153" t="s">
        <v>31</v>
      </c>
      <c r="AB138" s="153"/>
      <c r="AC138" s="153"/>
      <c r="AD138" s="154" t="s">
        <v>83</v>
      </c>
      <c r="AE138" s="100" t="s">
        <v>83</v>
      </c>
      <c r="AF138" s="100" t="s">
        <v>83</v>
      </c>
      <c r="AG138" s="100" t="s">
        <v>33</v>
      </c>
      <c r="AH138" s="100" t="s">
        <v>34</v>
      </c>
      <c r="AI138" s="98" t="s">
        <v>32</v>
      </c>
      <c r="AJ138" s="98" t="s">
        <v>32</v>
      </c>
      <c r="AK138" s="98" t="s">
        <v>50</v>
      </c>
      <c r="AL138" s="101" t="s">
        <v>36</v>
      </c>
      <c r="AO138" s="97" t="str">
        <f>informatieblad!$A$6</f>
        <v>FL20</v>
      </c>
      <c r="AP138" s="97" t="str">
        <f>informatieblad!$A$7</f>
        <v>FL30</v>
      </c>
      <c r="AQ138" s="99" t="str">
        <f>informatieblad!$A$8</f>
        <v>FL40</v>
      </c>
      <c r="AR138" s="266" t="str">
        <f>informatieblad!$A$5</f>
        <v>none</v>
      </c>
      <c r="AS138" s="64"/>
      <c r="AT138" s="266" t="s">
        <v>17</v>
      </c>
      <c r="AU138" s="64"/>
      <c r="AV138" s="266" t="s">
        <v>37</v>
      </c>
      <c r="AW138" s="64"/>
      <c r="AX138" s="269" t="s">
        <v>38</v>
      </c>
      <c r="AY138" s="272">
        <f>informatieblad!$B$3</f>
        <v>0</v>
      </c>
      <c r="AZ138" s="264">
        <f>informatieblad!$B$4</f>
        <v>0</v>
      </c>
    </row>
    <row r="139" spans="1:52">
      <c r="A139" s="475"/>
      <c r="B139" s="496" t="str">
        <f>IF($C140&gt;0,IF(MAX(B138,C138)&lt;informatieblad!$Q$4,informatieblad!$P$3,IF(MAX(B138,C138)&gt;informatieblad!$R$4,informatieblad!$P$5,informatieblad!$P$4)),"")</f>
        <v/>
      </c>
      <c r="C139" s="497"/>
      <c r="D139" s="223"/>
      <c r="E139" s="223"/>
      <c r="F139" s="224" t="str">
        <f>A138&amp;"-"&amp;informatieblad!$B$17&amp;"-"&amp;B138&amp;"-"&amp;C138&amp;"-"&amp;D138&amp;"-"&amp;B139&amp;"-"&amp;F140</f>
        <v>-RctE---0--Options None</v>
      </c>
      <c r="G139" s="235"/>
      <c r="H139" s="235"/>
      <c r="I139" s="236"/>
      <c r="T139" s="103">
        <f>A138</f>
        <v>0</v>
      </c>
      <c r="U139" s="104" t="s">
        <v>39</v>
      </c>
      <c r="V139" s="104" t="s">
        <v>39</v>
      </c>
      <c r="W139" s="104" t="s">
        <v>40</v>
      </c>
      <c r="X139" s="104" t="s">
        <v>40</v>
      </c>
      <c r="Y139" s="104" t="s">
        <v>40</v>
      </c>
      <c r="Z139" s="105"/>
      <c r="AA139" s="155" t="s">
        <v>27</v>
      </c>
      <c r="AB139" s="155" t="s">
        <v>40</v>
      </c>
      <c r="AC139" s="155" t="s">
        <v>41</v>
      </c>
      <c r="AD139" s="156" t="s">
        <v>109</v>
      </c>
      <c r="AE139" s="104" t="s">
        <v>110</v>
      </c>
      <c r="AF139" s="107" t="s">
        <v>95</v>
      </c>
      <c r="AG139" s="107" t="s">
        <v>44</v>
      </c>
      <c r="AH139" s="107"/>
      <c r="AI139" s="104" t="s">
        <v>40</v>
      </c>
      <c r="AJ139" s="104" t="s">
        <v>41</v>
      </c>
      <c r="AK139" s="108"/>
      <c r="AL139" s="109"/>
      <c r="AO139" s="262" t="str">
        <f>informatieblad!$A$2</f>
        <v>FL20 loose</v>
      </c>
      <c r="AP139" s="262" t="str">
        <f>informatieblad!$A$3</f>
        <v>FL30 loose</v>
      </c>
      <c r="AQ139" s="263" t="str">
        <f>informatieblad!$A$4</f>
        <v>FL40 loose</v>
      </c>
      <c r="AR139" s="282"/>
      <c r="AS139" s="64"/>
      <c r="AT139" s="267"/>
      <c r="AU139" s="64"/>
      <c r="AV139" s="267"/>
      <c r="AW139" s="64"/>
      <c r="AX139" s="265" t="s">
        <v>47</v>
      </c>
      <c r="AY139" s="83" t="s">
        <v>23</v>
      </c>
      <c r="AZ139" s="273" t="s">
        <v>23</v>
      </c>
    </row>
    <row r="140" spans="1:52" ht="15.75" thickBot="1">
      <c r="A140" s="495"/>
      <c r="B140" s="227" t="s">
        <v>23</v>
      </c>
      <c r="C140" s="237"/>
      <c r="D140" s="229">
        <f>C140*V140</f>
        <v>0</v>
      </c>
      <c r="E140" s="230" t="s">
        <v>24</v>
      </c>
      <c r="F140" s="498" t="s">
        <v>25</v>
      </c>
      <c r="G140" s="452"/>
      <c r="H140" s="452"/>
      <c r="I140" s="453"/>
      <c r="T140" s="111"/>
      <c r="U140" s="112">
        <f>(((((B138+C138))*D138)+(B138*C138))/1000000)</f>
        <v>0</v>
      </c>
      <c r="V140" s="112">
        <f>((IF(U140&lt;=informatieblad!$I$17,informatieblad!$I$17,IF(U140&gt;=informatieblad!$I$17,U140))))</f>
        <v>0.5</v>
      </c>
      <c r="W140" s="112">
        <f>(B138*C138)/1000000</f>
        <v>0</v>
      </c>
      <c r="X140" s="112">
        <f>((IF(W140&lt;=informatieblad!$H$17,informatieblad!$H$17,IF(W140&gt;=informatieblad!$H$17,W140))))</f>
        <v>0</v>
      </c>
      <c r="Y140" s="113">
        <f>((X140*AI140)+(X140*AB140))*C140</f>
        <v>0</v>
      </c>
      <c r="Z140" s="114">
        <f>((V140*AJ140)+(V140*AC140))*C140</f>
        <v>0</v>
      </c>
      <c r="AA140" s="115" t="str">
        <f>F140</f>
        <v>Options None</v>
      </c>
      <c r="AB140" s="115">
        <f>VLOOKUP(F140,informatieblad!$A$37:$D$41,2,FALSE)</f>
        <v>0</v>
      </c>
      <c r="AC140" s="115">
        <f>VLOOKUP(F140,informatieblad!$A$37:$D$41,4,FALSE)</f>
        <v>0</v>
      </c>
      <c r="AD140" s="180">
        <f>(MAX(K138,L138))</f>
        <v>0</v>
      </c>
      <c r="AE140" s="119">
        <f>(MAX(M138,N138))</f>
        <v>0</v>
      </c>
      <c r="AF140" s="119">
        <f>(MAX(K138,M138))</f>
        <v>0</v>
      </c>
      <c r="AG140" s="119">
        <f>(MAX(B138:C138))</f>
        <v>0</v>
      </c>
      <c r="AH140" s="119">
        <f>LOOKUP(AG140,informatieblad!$C$27:$C$32,informatieblad!$A$27:$A$32)</f>
        <v>0.5</v>
      </c>
      <c r="AI140" s="118">
        <f>VLOOKUP(AH140,informatieblad!$A$27:$M$32,6,FALSE)</f>
        <v>0</v>
      </c>
      <c r="AJ140" s="118">
        <f>VLOOKUP(AH140,informatieblad!$A$27:$M$32,8,FALSE)</f>
        <v>45.1248</v>
      </c>
      <c r="AK140" s="120">
        <f>VLOOKUP(AH140,informatieblad!$A$27:$M$32,13,FALSE)</f>
        <v>4</v>
      </c>
      <c r="AL140" s="121">
        <f>ROUND((AK140*W140),1)</f>
        <v>0</v>
      </c>
      <c r="AO140" s="111">
        <f>(IF(B139=AO138,((2*B138)+(2*C138)),IF(B139=AO139,((2*B138)+(2*C138)),0)))*C140</f>
        <v>0</v>
      </c>
      <c r="AP140" s="111">
        <f>(IF(B139=AP138,((2*B138)+(2*C138)),IF(B139=AP139,((2*B138)+(2*C138)),0)))*C140</f>
        <v>0</v>
      </c>
      <c r="AQ140" s="261">
        <f>(IF(B139=AQ138,((2*B138)+(2*C138)),IF(B139=AQ139,((2*B138)+(2*C138)),0)))*C140</f>
        <v>0</v>
      </c>
      <c r="AR140" s="283">
        <f>(IF(B139=AR138,((2*B138)+(2*C138)),0))*C140</f>
        <v>0</v>
      </c>
      <c r="AS140" s="64"/>
      <c r="AT140" s="268">
        <f>D138*C140</f>
        <v>0</v>
      </c>
      <c r="AU140" s="64"/>
      <c r="AV140" s="268">
        <f>(AG140+100)*C140</f>
        <v>0</v>
      </c>
      <c r="AW140" s="64"/>
      <c r="AX140" s="111" t="str">
        <f>IF(B139=informatieblad!$A$6,informatieblad!$B$6,IF(B139=informatieblad!$A$7,informatieblad!$B$7,IF(B139=informatieblad!$A$8,informatieblad!$B$8,IF(B139=informatieblad!$A$2,informatieblad!$B$2,IF(B139=informatieblad!$A$3,informatieblad!$B$3,IF(B139=informatieblad!$A$4,informatieblad!$B$4,IF(B139=informatieblad!$A$5,informatieblad!$B$5,"")))))))</f>
        <v/>
      </c>
      <c r="AY140" s="276">
        <f>IF(AX140=AY138,(4*C140),0)</f>
        <v>0</v>
      </c>
      <c r="AZ140" s="274">
        <f>IF(AX140=AZ138,(4*C140),0)</f>
        <v>0</v>
      </c>
    </row>
    <row r="141" spans="1:52" ht="15" customHeight="1" thickBot="1">
      <c r="AO141" s="277" t="s">
        <v>66</v>
      </c>
      <c r="AP141" s="280" t="s">
        <v>67</v>
      </c>
      <c r="AQ141" s="280" t="s">
        <v>68</v>
      </c>
      <c r="AR141" s="278" t="s">
        <v>69</v>
      </c>
      <c r="AS141" s="83"/>
      <c r="AT141" s="280" t="s">
        <v>120</v>
      </c>
      <c r="AU141" s="99"/>
      <c r="AV141" s="280" t="s">
        <v>159</v>
      </c>
      <c r="AW141" s="83"/>
      <c r="AX141" s="83"/>
      <c r="AY141" s="277" t="s">
        <v>70</v>
      </c>
      <c r="AZ141" s="280" t="s">
        <v>71</v>
      </c>
    </row>
    <row r="142" spans="1:52" ht="15.75" thickBot="1">
      <c r="AO142" s="354">
        <f>SUM(AO24,AO28,AO32,AO36,AO40,AO44,AO48,AO52,AO56,AO60,AO64,AO68,AO72,AO76,AO80,AO84,AO88,AO92,AO96,AO100,AO104,AO108,AO112,AO116,AO120,AO124,AO128,AO132,AO136,AO140)</f>
        <v>0</v>
      </c>
      <c r="AP142" s="344">
        <f>SUM(AP24,AP28,AP32,AP36,AP40,AP44,AP48,AP52,AP56,AP60,AP64,AP68,AP72,AP76,AP80,AP84,AP88,AP92,AP96,AP100,AP104,AP108,AP112,AP116,AP120,AP124,AP128,AP132,AP136,AP140)</f>
        <v>0</v>
      </c>
      <c r="AQ142" s="344">
        <f>SUM(AQ24,AQ28,AQ32,AQ36,AQ40,AQ44,AQ48,AQ52,AQ56,AQ60,AQ64,AQ68,AQ72,AQ76,AQ80,AQ84,AQ88,AQ92,AQ96,AQ100,AQ104,AQ108,AQ112,AQ116,AQ120,AQ124,AQ128,AQ132,AQ136,AQ140)</f>
        <v>0</v>
      </c>
      <c r="AR142" s="355">
        <f>SUM(AR24,AR28,AR32,AR36,AR40,AR44,AR48,AR52,AR56,AR60,AR64,AR68,AR72,AR76,AR80,AR84,AR88,AR92,AR96,AR100,AR104,AR108,AR112,AR116,AR120,AR124,AR128,AR132,AR136,AR140)</f>
        <v>0</v>
      </c>
      <c r="AS142" s="83"/>
      <c r="AT142" s="344">
        <f>SUM(AT24,AT28,AT32,AT36,AT40,AT44,AT48,AT52,AT56,AT60,AT64,AT68,AT72,AT76,AT80,AT84,AT88,AT92,AT96,AT100,AT104,AT108,AT112,AT116,AT120,AT124,AT128,AT132,AT136,AT140)</f>
        <v>0</v>
      </c>
      <c r="AU142" s="261"/>
      <c r="AV142" s="344">
        <f>SUM(AV24,AV28,AV32,AV36,AV40,AV44,AV48,AV52,AV56,AV60,AV64,AV68,AV72,AV76,AV80,AV84,AV88,AV92,AV96,AV100,AV104,AV108,AV112,AV116,AV120,AV124,AV128,AV132,AV136,AV140)</f>
        <v>0</v>
      </c>
      <c r="AW142" s="83"/>
      <c r="AX142" s="83"/>
      <c r="AY142" s="354">
        <f>SUM(AY24,AY28,AY32,AY36,AY40,AY44,AY48,AY52,AY56,AY60,AY64,AY68,AY72,AY76,AY80,AY84,AY88,AY92,AY96,AY100,AY104,AY108,AY112,AY116,AY120,AY124,AY128,AY132,AY136,AY140)</f>
        <v>0</v>
      </c>
      <c r="AZ142" s="344">
        <f>SUM(AZ24,AZ28,AZ32,AZ36,AZ40,AZ44,AZ48,AZ52,AZ56,AZ60,AZ64,AZ68,AZ72,AZ76,AZ80,AZ84,AZ88,AZ92,AZ96,AZ100,AZ104,AZ108,AZ112,AZ116,AZ120,AZ124,AZ128,AZ132,AZ136,AZ140)</f>
        <v>0</v>
      </c>
    </row>
  </sheetData>
  <sheetProtection algorithmName="SHA-512" hashValue="Kd3j+FaeWUUXveJfVAA9HeCYIcaLEOh8ano0Ne7I325na0I2/ZZvcYjUXdUWlecF/1a0NiJ9FqUsNdeBCQuPiw==" saltValue="YyKFkvMriW4NFX28XAtVFw==" spinCount="100000" sheet="1" objects="1" scenarios="1"/>
  <mergeCells count="93">
    <mergeCell ref="A134:A136"/>
    <mergeCell ref="B135:C135"/>
    <mergeCell ref="F136:I136"/>
    <mergeCell ref="A138:A140"/>
    <mergeCell ref="B139:C139"/>
    <mergeCell ref="F140:I140"/>
    <mergeCell ref="A126:A128"/>
    <mergeCell ref="B127:C127"/>
    <mergeCell ref="F128:I128"/>
    <mergeCell ref="A130:A132"/>
    <mergeCell ref="B131:C131"/>
    <mergeCell ref="F132:I132"/>
    <mergeCell ref="A118:A120"/>
    <mergeCell ref="B119:C119"/>
    <mergeCell ref="F120:I120"/>
    <mergeCell ref="A122:A124"/>
    <mergeCell ref="B123:C123"/>
    <mergeCell ref="F124:I124"/>
    <mergeCell ref="A110:A112"/>
    <mergeCell ref="B111:C111"/>
    <mergeCell ref="F112:I112"/>
    <mergeCell ref="A114:A116"/>
    <mergeCell ref="B115:C115"/>
    <mergeCell ref="F116:I116"/>
    <mergeCell ref="A102:A104"/>
    <mergeCell ref="B103:C103"/>
    <mergeCell ref="F104:I104"/>
    <mergeCell ref="A106:A108"/>
    <mergeCell ref="B107:C107"/>
    <mergeCell ref="F108:I108"/>
    <mergeCell ref="A94:A96"/>
    <mergeCell ref="B95:C95"/>
    <mergeCell ref="F96:I96"/>
    <mergeCell ref="A98:A100"/>
    <mergeCell ref="B99:C99"/>
    <mergeCell ref="F100:I100"/>
    <mergeCell ref="A86:A88"/>
    <mergeCell ref="B87:C87"/>
    <mergeCell ref="F88:I88"/>
    <mergeCell ref="A90:A92"/>
    <mergeCell ref="B91:C91"/>
    <mergeCell ref="F92:I92"/>
    <mergeCell ref="A78:A80"/>
    <mergeCell ref="B79:C79"/>
    <mergeCell ref="F80:I80"/>
    <mergeCell ref="A82:A84"/>
    <mergeCell ref="B83:C83"/>
    <mergeCell ref="F84:I84"/>
    <mergeCell ref="A70:A72"/>
    <mergeCell ref="B71:C71"/>
    <mergeCell ref="F72:I72"/>
    <mergeCell ref="A74:A76"/>
    <mergeCell ref="B75:C75"/>
    <mergeCell ref="F76:I76"/>
    <mergeCell ref="A62:A64"/>
    <mergeCell ref="B63:C63"/>
    <mergeCell ref="F64:I64"/>
    <mergeCell ref="A66:A68"/>
    <mergeCell ref="B67:C67"/>
    <mergeCell ref="F68:I68"/>
    <mergeCell ref="A54:A56"/>
    <mergeCell ref="B55:C55"/>
    <mergeCell ref="F56:I56"/>
    <mergeCell ref="A58:A60"/>
    <mergeCell ref="B59:C59"/>
    <mergeCell ref="F60:I60"/>
    <mergeCell ref="A30:A32"/>
    <mergeCell ref="B31:C31"/>
    <mergeCell ref="F32:I32"/>
    <mergeCell ref="A18:A20"/>
    <mergeCell ref="B19:C19"/>
    <mergeCell ref="F20:I20"/>
    <mergeCell ref="A22:A24"/>
    <mergeCell ref="B23:C23"/>
    <mergeCell ref="F24:I24"/>
    <mergeCell ref="A26:A28"/>
    <mergeCell ref="B27:C27"/>
    <mergeCell ref="F28:I28"/>
    <mergeCell ref="A34:A36"/>
    <mergeCell ref="B35:C35"/>
    <mergeCell ref="F36:I36"/>
    <mergeCell ref="A38:A40"/>
    <mergeCell ref="B39:C39"/>
    <mergeCell ref="F40:I40"/>
    <mergeCell ref="A50:A52"/>
    <mergeCell ref="B51:C51"/>
    <mergeCell ref="F52:I52"/>
    <mergeCell ref="A42:A44"/>
    <mergeCell ref="B43:C43"/>
    <mergeCell ref="F44:I44"/>
    <mergeCell ref="A46:A48"/>
    <mergeCell ref="B47:C47"/>
    <mergeCell ref="F48:I48"/>
  </mergeCells>
  <phoneticPr fontId="3" type="noConversion"/>
  <dataValidations disablePrompts="1" count="2">
    <dataValidation type="list" allowBlank="1" showInputMessage="1" showErrorMessage="1" sqref="B23:C23 B27:C27 B31:C31 B35:C35 B39:C39 B43:C43 B47:C47 B51:C51 B55:C55 B59:C59 B63:C63 B67:C67 B71:C71 B75:C75 B79:C79 B83:C83 B87:C87 B91:C91 B95:C95 B99:C99 B103:C103 B107:C107 B111:C111 B115:C115 B119:C119 B123:C123 B127:C127 B131:C131 B135:C135 B139:C139" xr:uid="{299BE938-FFAD-4244-9874-68D79CD9BB97}">
      <formula1>Options_flanges</formula1>
    </dataValidation>
    <dataValidation type="list" allowBlank="1" showInputMessage="1" showErrorMessage="1" sqref="F20:I20 F24:I24 F28:I28 F32:I32 F36:I36 F40:I40 F44:I44 F48:I48 F52:I52 F80:I80 F56:I56 F60:I60 F64:I64 F68:I68 F72:I72 F76:I76 F84:I84 F140:I140 F88:I88 F92:I92 F96:I96 F100:I100 F104:I104 F108:I108 F112:I112 F116:I116 F120:I120 F124:I124 F128:I128 F132:I132 F136:I136" xr:uid="{75C35A38-AEB8-427B-B652-B6F97759E39D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9BC8-D692-432F-AE53-5261D398591D}">
  <sheetPr>
    <tabColor theme="6" tint="0.79998168889431442"/>
  </sheetPr>
  <dimension ref="A1:AZ142"/>
  <sheetViews>
    <sheetView showGridLines="0" showZeros="0" view="pageBreakPreview" zoomScale="115" zoomScaleNormal="100" zoomScaleSheetLayoutView="115" workbookViewId="0">
      <pane xSplit="9" ySplit="17" topLeftCell="J18" activePane="bottomRight" state="frozen"/>
      <selection pane="bottomRight" activeCell="A22" sqref="A22:A24"/>
      <selection pane="bottomLeft" activeCell="A18" sqref="A18"/>
      <selection pane="topRight" activeCell="J1" sqref="J1"/>
    </sheetView>
  </sheetViews>
  <sheetFormatPr defaultColWidth="9.140625" defaultRowHeight="15"/>
  <cols>
    <col min="1" max="3" width="9.140625" style="152"/>
    <col min="4" max="4" width="9.5703125" style="152" bestFit="1" customWidth="1"/>
    <col min="5" max="6" width="9.140625" style="152"/>
    <col min="7" max="9" width="11.7109375" style="152" customWidth="1"/>
    <col min="10" max="10" width="50.7109375" style="152" customWidth="1"/>
    <col min="11" max="20" width="0" style="152" hidden="1" customWidth="1"/>
    <col min="21" max="21" width="13.140625" style="152" hidden="1" customWidth="1"/>
    <col min="22" max="22" width="19.140625" style="152" hidden="1" customWidth="1"/>
    <col min="23" max="23" width="0" style="152" hidden="1" customWidth="1"/>
    <col min="24" max="24" width="22.140625" style="152" hidden="1" customWidth="1"/>
    <col min="25" max="25" width="24.85546875" style="152" hidden="1" customWidth="1"/>
    <col min="26" max="26" width="20.28515625" style="152" hidden="1" customWidth="1"/>
    <col min="27" max="27" width="18.140625" style="152" hidden="1" customWidth="1"/>
    <col min="28" max="28" width="11.140625" style="152" hidden="1" customWidth="1"/>
    <col min="29" max="29" width="10.5703125" style="152" hidden="1" customWidth="1"/>
    <col min="30" max="30" width="10.28515625" style="152" hidden="1" customWidth="1"/>
    <col min="31" max="31" width="10.42578125" style="152" hidden="1" customWidth="1"/>
    <col min="32" max="32" width="0" style="152" hidden="1" customWidth="1"/>
    <col min="33" max="33" width="16" style="152" hidden="1" customWidth="1"/>
    <col min="34" max="34" width="19.140625" style="152" hidden="1" customWidth="1"/>
    <col min="35" max="36" width="12.85546875" style="152" hidden="1" customWidth="1"/>
    <col min="37" max="40" width="0" style="152" hidden="1" customWidth="1"/>
    <col min="41" max="43" width="14.28515625" style="152" hidden="1" customWidth="1"/>
    <col min="44" max="44" width="13.140625" style="152" hidden="1" customWidth="1"/>
    <col min="45" max="45" width="0" style="152" hidden="1" customWidth="1"/>
    <col min="46" max="46" width="14.85546875" style="152" hidden="1" customWidth="1"/>
    <col min="47" max="47" width="0" style="152" hidden="1" customWidth="1"/>
    <col min="48" max="48" width="14" style="152" hidden="1" customWidth="1"/>
    <col min="49" max="49" width="0" style="152" hidden="1" customWidth="1"/>
    <col min="50" max="50" width="14.28515625" style="152" hidden="1" customWidth="1"/>
    <col min="51" max="51" width="11" style="152" hidden="1" customWidth="1"/>
    <col min="52" max="52" width="12.5703125" style="152" hidden="1" customWidth="1"/>
    <col min="53" max="16384" width="9.140625" style="152"/>
  </cols>
  <sheetData>
    <row r="1" spans="1:25">
      <c r="A1" s="205"/>
      <c r="B1" s="206"/>
      <c r="C1" s="206"/>
      <c r="D1" s="206"/>
      <c r="E1" s="206"/>
      <c r="F1" s="206"/>
      <c r="G1" s="206"/>
      <c r="H1" s="206"/>
      <c r="I1" s="207"/>
      <c r="T1" s="65" t="str">
        <f>informatieblad!$F$12&amp;" "&amp;informatieblad!$D$17</f>
        <v>Total aantal of Deksels  (RctE)</v>
      </c>
      <c r="U1" s="62"/>
      <c r="V1" s="62"/>
      <c r="W1" s="62"/>
      <c r="X1" s="62"/>
      <c r="Y1" s="66">
        <f>C24+C28+C32+C36+C40+C44+C48+C52+C56+C60+C64+C68+C72+C76+C80+C84+C88+C92+C96+C100+C104+C108+C112+C116+C120+C124+C128+C132+C136+C140</f>
        <v>0</v>
      </c>
    </row>
    <row r="2" spans="1:25">
      <c r="A2" s="208"/>
      <c r="I2" s="209"/>
      <c r="T2" s="69" t="str">
        <f>informatieblad!$F$13</f>
        <v>Total purchase price</v>
      </c>
      <c r="U2" s="64"/>
      <c r="V2" s="64"/>
      <c r="W2" s="64"/>
      <c r="X2" s="64"/>
      <c r="Y2" s="343">
        <f>Y24+Y28+Y32+Y36+Y40+Y44+Y48+Y52+Y56+Y60+Y64+Y68+Y72+Y76+Y80+Y84+Y88+Y92+Y96+Y100+Y104+Y108+Y112+Y116+Y120+Y124+Y128+Y132+Y136+Y140</f>
        <v>0</v>
      </c>
    </row>
    <row r="3" spans="1:25" ht="15.75" thickBot="1">
      <c r="A3" s="208"/>
      <c r="I3" s="209"/>
      <c r="T3" s="71" t="str">
        <f>informatieblad!$F$14</f>
        <v>Total sales price</v>
      </c>
      <c r="U3" s="72"/>
      <c r="V3" s="72"/>
      <c r="W3" s="72"/>
      <c r="X3" s="72"/>
      <c r="Y3" s="238">
        <f>Z24+Z28+Z32+Z36+Z40+Z44+Z48+Z52+Z56+Z60+Z64+Z68+Z72+Z76+Z80+Z84+Z88+Z92+Z96+Z100+Z104+Z108+Z112+Z116+Z120+Z124+Z128+Z132+Z136+Z140</f>
        <v>0</v>
      </c>
    </row>
    <row r="4" spans="1:25">
      <c r="A4" s="208"/>
      <c r="I4" s="433" t="str">
        <f>informatieblad!D18</f>
        <v>Eindstukken Gaas 45  (RctG)</v>
      </c>
    </row>
    <row r="5" spans="1:25">
      <c r="A5" s="208"/>
      <c r="G5" s="133"/>
      <c r="I5" s="209"/>
    </row>
    <row r="6" spans="1:25">
      <c r="A6" s="208"/>
      <c r="G6" s="75"/>
      <c r="I6" s="209"/>
    </row>
    <row r="7" spans="1:25">
      <c r="A7" s="208"/>
      <c r="G7" s="75"/>
      <c r="I7" s="209"/>
    </row>
    <row r="8" spans="1:25">
      <c r="A8" s="208"/>
      <c r="G8" s="64" t="s">
        <v>157</v>
      </c>
      <c r="I8" s="239">
        <v>200</v>
      </c>
    </row>
    <row r="9" spans="1:25">
      <c r="A9" s="208"/>
      <c r="G9" s="64" t="s">
        <v>160</v>
      </c>
      <c r="I9" s="239">
        <v>45</v>
      </c>
    </row>
    <row r="10" spans="1:25">
      <c r="A10" s="208"/>
      <c r="I10" s="209"/>
      <c r="L10" s="64"/>
    </row>
    <row r="11" spans="1:25">
      <c r="A11" s="208"/>
      <c r="I11" s="209"/>
    </row>
    <row r="12" spans="1:25">
      <c r="A12" s="208"/>
      <c r="I12" s="209"/>
    </row>
    <row r="13" spans="1:25">
      <c r="A13" s="208"/>
      <c r="I13" s="209"/>
    </row>
    <row r="14" spans="1:25">
      <c r="A14" s="208"/>
      <c r="I14" s="209"/>
    </row>
    <row r="15" spans="1:25" ht="15.75" thickBot="1">
      <c r="A15" s="211"/>
      <c r="B15" s="212"/>
      <c r="C15" s="212"/>
      <c r="D15" s="212"/>
      <c r="E15" s="212"/>
      <c r="F15" s="212"/>
      <c r="G15" s="212"/>
      <c r="H15" s="212"/>
      <c r="I15" s="213"/>
    </row>
    <row r="16" spans="1:25" ht="5.0999999999999996" customHeight="1" thickBot="1">
      <c r="A16" s="208"/>
      <c r="I16" s="209"/>
    </row>
    <row r="17" spans="1:52" ht="15.75" thickBot="1">
      <c r="A17" s="240" t="s">
        <v>14</v>
      </c>
      <c r="B17" s="241" t="s">
        <v>15</v>
      </c>
      <c r="C17" s="241" t="s">
        <v>16</v>
      </c>
      <c r="D17" s="242" t="s">
        <v>161</v>
      </c>
      <c r="E17" s="242" t="s">
        <v>162</v>
      </c>
      <c r="F17" s="216" t="s">
        <v>103</v>
      </c>
      <c r="G17" s="221"/>
      <c r="H17" s="221"/>
      <c r="I17" s="222"/>
      <c r="J17" s="280" t="s">
        <v>18</v>
      </c>
    </row>
    <row r="18" spans="1:52" ht="15.75" thickBot="1">
      <c r="A18" s="499" t="s">
        <v>19</v>
      </c>
      <c r="B18" s="219">
        <v>500</v>
      </c>
      <c r="C18" s="219">
        <v>500</v>
      </c>
      <c r="D18" s="220">
        <v>200</v>
      </c>
      <c r="E18" s="220">
        <v>700</v>
      </c>
      <c r="F18" s="243">
        <v>45</v>
      </c>
      <c r="G18" s="221"/>
      <c r="H18" s="221"/>
      <c r="I18" s="222"/>
      <c r="J18" s="345" t="s">
        <v>20</v>
      </c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3"/>
      <c r="AE18" s="133"/>
      <c r="AF18" s="133"/>
      <c r="AG18" s="133"/>
      <c r="AH18" s="133"/>
      <c r="AI18" s="131"/>
      <c r="AJ18" s="131"/>
      <c r="AK18" s="131"/>
      <c r="AL18" s="131"/>
    </row>
    <row r="19" spans="1:52">
      <c r="A19" s="465"/>
      <c r="B19" s="496" t="s">
        <v>80</v>
      </c>
      <c r="C19" s="497"/>
      <c r="D19" s="223"/>
      <c r="E19" s="223"/>
      <c r="F19" s="334" t="s">
        <v>163</v>
      </c>
      <c r="G19" s="225"/>
      <c r="H19" s="225"/>
      <c r="I19" s="226"/>
      <c r="J19" s="83"/>
      <c r="T19" s="83"/>
      <c r="U19" s="136"/>
      <c r="V19" s="136"/>
      <c r="W19" s="136"/>
      <c r="X19" s="136"/>
      <c r="Y19" s="136"/>
      <c r="Z19" s="83"/>
      <c r="AA19" s="83"/>
      <c r="AB19" s="83"/>
      <c r="AC19" s="83"/>
      <c r="AD19" s="136"/>
      <c r="AE19" s="136"/>
      <c r="AF19" s="75"/>
      <c r="AG19" s="75"/>
      <c r="AH19" s="75"/>
      <c r="AI19" s="136"/>
      <c r="AJ19" s="136"/>
      <c r="AK19" s="83"/>
      <c r="AL19" s="83"/>
    </row>
    <row r="20" spans="1:52" ht="15.75" thickBot="1">
      <c r="A20" s="500"/>
      <c r="B20" s="227" t="s">
        <v>23</v>
      </c>
      <c r="C20" s="228">
        <v>1</v>
      </c>
      <c r="D20" s="229">
        <v>1.61</v>
      </c>
      <c r="E20" s="230" t="s">
        <v>24</v>
      </c>
      <c r="F20" s="501" t="s">
        <v>25</v>
      </c>
      <c r="G20" s="458"/>
      <c r="H20" s="458"/>
      <c r="I20" s="459"/>
      <c r="J20" s="176"/>
      <c r="T20" s="83"/>
      <c r="U20" s="142"/>
      <c r="V20" s="142"/>
      <c r="W20" s="142"/>
      <c r="X20" s="142"/>
      <c r="Y20" s="143"/>
      <c r="Z20" s="143"/>
      <c r="AA20" s="143"/>
      <c r="AB20" s="143"/>
      <c r="AC20" s="143"/>
      <c r="AD20" s="83"/>
      <c r="AE20" s="83"/>
      <c r="AF20" s="83"/>
      <c r="AG20" s="83"/>
      <c r="AH20" s="83"/>
      <c r="AI20" s="144"/>
      <c r="AJ20" s="144"/>
      <c r="AK20" s="142"/>
      <c r="AL20" s="142"/>
    </row>
    <row r="21" spans="1:52" ht="5.0999999999999996" customHeight="1" thickBot="1">
      <c r="A21" s="231"/>
      <c r="B21" s="232"/>
      <c r="C21" s="232"/>
      <c r="D21" s="232"/>
      <c r="E21" s="232"/>
      <c r="F21" s="232"/>
      <c r="G21" s="232"/>
      <c r="H21" s="232"/>
      <c r="I21" s="233"/>
      <c r="J21" s="64"/>
    </row>
    <row r="22" spans="1:52" ht="15.75" thickBot="1">
      <c r="A22" s="494"/>
      <c r="B22" s="234"/>
      <c r="C22" s="234"/>
      <c r="D22" s="333">
        <f>(B22&gt;0)*$I$8</f>
        <v>0</v>
      </c>
      <c r="E22" s="244">
        <f>D22+AE24</f>
        <v>0</v>
      </c>
      <c r="F22" s="243">
        <f>(B22&gt;0)*$I$9</f>
        <v>0</v>
      </c>
      <c r="G22" s="221"/>
      <c r="H22" s="221"/>
      <c r="I22" s="222"/>
      <c r="J22" s="345" t="s">
        <v>20</v>
      </c>
      <c r="T22" s="97" t="s">
        <v>14</v>
      </c>
      <c r="U22" s="98" t="s">
        <v>27</v>
      </c>
      <c r="V22" s="98" t="s">
        <v>28</v>
      </c>
      <c r="W22" s="98" t="s">
        <v>27</v>
      </c>
      <c r="X22" s="98" t="s">
        <v>28</v>
      </c>
      <c r="Y22" s="98" t="s">
        <v>29</v>
      </c>
      <c r="Z22" s="66" t="s">
        <v>30</v>
      </c>
      <c r="AA22" s="153" t="s">
        <v>31</v>
      </c>
      <c r="AB22" s="153"/>
      <c r="AC22" s="153"/>
      <c r="AD22" s="97" t="s">
        <v>164</v>
      </c>
      <c r="AE22" s="98" t="s">
        <v>165</v>
      </c>
      <c r="AF22" s="245"/>
      <c r="AG22" s="98" t="s">
        <v>33</v>
      </c>
      <c r="AH22" s="98" t="s">
        <v>34</v>
      </c>
      <c r="AI22" s="98" t="s">
        <v>32</v>
      </c>
      <c r="AJ22" s="98" t="s">
        <v>32</v>
      </c>
      <c r="AK22" s="98" t="s">
        <v>35</v>
      </c>
      <c r="AL22" s="101" t="s">
        <v>36</v>
      </c>
      <c r="AO22" s="97" t="str">
        <f>informatieblad!$A$6</f>
        <v>FL20</v>
      </c>
      <c r="AP22" s="97" t="str">
        <f>informatieblad!$A$7</f>
        <v>FL30</v>
      </c>
      <c r="AQ22" s="99" t="str">
        <f>informatieblad!$A$8</f>
        <v>FL40</v>
      </c>
      <c r="AR22" s="266" t="str">
        <f>informatieblad!$A$5</f>
        <v>none</v>
      </c>
      <c r="AS22" s="64"/>
      <c r="AT22" s="266" t="s">
        <v>17</v>
      </c>
      <c r="AU22" s="64"/>
      <c r="AV22" s="266" t="s">
        <v>37</v>
      </c>
      <c r="AW22" s="64"/>
      <c r="AX22" s="269" t="s">
        <v>38</v>
      </c>
      <c r="AY22" s="272">
        <f>informatieblad!$B$3</f>
        <v>0</v>
      </c>
      <c r="AZ22" s="264">
        <f>informatieblad!$B$4</f>
        <v>0</v>
      </c>
    </row>
    <row r="23" spans="1:52">
      <c r="A23" s="475"/>
      <c r="B23" s="502" t="str">
        <f>IF($C24&gt;0,IF(MAX(B22,C22)&lt;informatieblad!$Q$4,informatieblad!$P$3,IF(MAX(B22,C22)&gt;informatieblad!$R$4,informatieblad!$P$5,informatieblad!$P$4)),"")</f>
        <v/>
      </c>
      <c r="C23" s="503"/>
      <c r="D23" s="223"/>
      <c r="E23" s="223"/>
      <c r="F23" s="334" t="str">
        <f>A22&amp;"-"&amp;informatieblad!$B$18&amp;"-"&amp;B22&amp;"-"&amp;C22&amp;"-"&amp;D22&amp;"-"&amp;E22&amp;"-"&amp;F22&amp;"-"&amp;B23&amp;"-"&amp;F24</f>
        <v>-RctG---0-0-0--Options None</v>
      </c>
      <c r="G23" s="235"/>
      <c r="H23" s="235"/>
      <c r="I23" s="236"/>
      <c r="J23" s="83"/>
      <c r="T23" s="103">
        <f>A22</f>
        <v>0</v>
      </c>
      <c r="U23" s="104" t="s">
        <v>39</v>
      </c>
      <c r="V23" s="104" t="s">
        <v>39</v>
      </c>
      <c r="W23" s="104" t="s">
        <v>40</v>
      </c>
      <c r="X23" s="104" t="s">
        <v>40</v>
      </c>
      <c r="Y23" s="104" t="s">
        <v>40</v>
      </c>
      <c r="Z23" s="105"/>
      <c r="AA23" s="155" t="s">
        <v>27</v>
      </c>
      <c r="AB23" s="155" t="s">
        <v>40</v>
      </c>
      <c r="AC23" s="155" t="s">
        <v>41</v>
      </c>
      <c r="AD23" s="246" t="s">
        <v>166</v>
      </c>
      <c r="AE23" s="104" t="s">
        <v>167</v>
      </c>
      <c r="AF23" s="247"/>
      <c r="AG23" s="104" t="s">
        <v>44</v>
      </c>
      <c r="AH23" s="104"/>
      <c r="AI23" s="104" t="s">
        <v>40</v>
      </c>
      <c r="AJ23" s="104" t="s">
        <v>41</v>
      </c>
      <c r="AK23" s="108"/>
      <c r="AL23" s="109"/>
      <c r="AO23" s="262" t="str">
        <f>informatieblad!$A$2</f>
        <v>FL20 loose</v>
      </c>
      <c r="AP23" s="262" t="str">
        <f>informatieblad!$A$3</f>
        <v>FL30 loose</v>
      </c>
      <c r="AQ23" s="263" t="str">
        <f>informatieblad!$A$4</f>
        <v>FL40 loose</v>
      </c>
      <c r="AR23" s="282"/>
      <c r="AS23" s="64"/>
      <c r="AT23" s="267"/>
      <c r="AU23" s="64"/>
      <c r="AV23" s="267"/>
      <c r="AW23" s="64"/>
      <c r="AX23" s="265" t="s">
        <v>47</v>
      </c>
      <c r="AY23" s="83" t="s">
        <v>23</v>
      </c>
      <c r="AZ23" s="273" t="s">
        <v>23</v>
      </c>
    </row>
    <row r="24" spans="1:52" ht="15.75" thickBot="1">
      <c r="A24" s="495"/>
      <c r="B24" s="227" t="s">
        <v>23</v>
      </c>
      <c r="C24" s="237"/>
      <c r="D24" s="229">
        <f>C24*V24</f>
        <v>0</v>
      </c>
      <c r="E24" s="230" t="s">
        <v>24</v>
      </c>
      <c r="F24" s="498" t="s">
        <v>25</v>
      </c>
      <c r="G24" s="452"/>
      <c r="H24" s="452"/>
      <c r="I24" s="453"/>
      <c r="J24" s="176"/>
      <c r="T24" s="111"/>
      <c r="U24" s="112">
        <f>((((2*(B22+C22))*D22)+(B22*(E22-D22))+(C22*(E22-D22))+(2*(B22*AD24)))/1000000)</f>
        <v>0</v>
      </c>
      <c r="V24" s="112">
        <f>((IF(U24&lt;=informatieblad!$I$18,informatieblad!$I$18,IF(U24&gt;=informatieblad!$I$18,U24))))</f>
        <v>0.5</v>
      </c>
      <c r="W24" s="112">
        <f>((((2*(B22+C22))*D22)+(B22*(E22-D22))+(C22*(E22-D22))+(2*(B22*AD24)))/1000000)</f>
        <v>0</v>
      </c>
      <c r="X24" s="112">
        <f>((IF(W24&lt;=informatieblad!$H$18,informatieblad!$H$18,IF(W24&gt;=informatieblad!$H$18,W24))))</f>
        <v>0</v>
      </c>
      <c r="Y24" s="113">
        <f>((X24*AI24)+(X24*AB24))*C24</f>
        <v>0</v>
      </c>
      <c r="Z24" s="114">
        <f>((V24*AJ24)+(V24*AC24))*C24</f>
        <v>0</v>
      </c>
      <c r="AA24" s="115" t="str">
        <f>F24</f>
        <v>Options None</v>
      </c>
      <c r="AB24" s="115">
        <f>VLOOKUP(F24,informatieblad!$A$37:$D$41,2,FALSE)</f>
        <v>0</v>
      </c>
      <c r="AC24" s="115">
        <f>VLOOKUP(F24,informatieblad!$A$37:$D$41,4,FALSE)</f>
        <v>0</v>
      </c>
      <c r="AD24" s="159">
        <f>(SQRT((((TAN(F22*(PI()/180)))*C22)^2)+(C22^2)))</f>
        <v>0</v>
      </c>
      <c r="AE24" s="119">
        <f>ROUND(((TAN(F22*(PI()/180)))*C22),0)</f>
        <v>0</v>
      </c>
      <c r="AF24" s="119"/>
      <c r="AG24" s="119">
        <f>(MAX(B22:C22))</f>
        <v>0</v>
      </c>
      <c r="AH24" s="119">
        <f>LOOKUP(AG24,informatieblad!$C$27:$C$32,informatieblad!$A$27:$A$32)</f>
        <v>0.5</v>
      </c>
      <c r="AI24" s="118">
        <f>VLOOKUP(AH24,informatieblad!$A$27:$M$32,6,FALSE)</f>
        <v>0</v>
      </c>
      <c r="AJ24" s="118">
        <f>VLOOKUP(AH24,informatieblad!$A$27:$M$32,8,FALSE)</f>
        <v>45.1248</v>
      </c>
      <c r="AK24" s="120">
        <f>VLOOKUP(AH24,informatieblad!$A$27:$M$32,13,FALSE)</f>
        <v>4</v>
      </c>
      <c r="AL24" s="121">
        <f>ROUND((AK24*W24),1)</f>
        <v>0</v>
      </c>
      <c r="AO24" s="111">
        <f>(IF(B23=AO22,((2*B22)+(2*C22)),IF(B23=AO23,((2*B22)+(2*C22)),0)))*C24</f>
        <v>0</v>
      </c>
      <c r="AP24" s="111">
        <f>(IF(B23=AP22,((2*B22)+(2*C22)),IF(B23=AP23,((2*B22)+(2*C22)),0)))*C24</f>
        <v>0</v>
      </c>
      <c r="AQ24" s="261">
        <f>(IF(B23=AQ22,((2*B22)+(2*C22)),IF(B23=AQ23,((2*B22)+(2*C22)),0)))*C24</f>
        <v>0</v>
      </c>
      <c r="AR24" s="283">
        <f>(IF(B23=AR22,((2*B22)+(2*C22)),0))*C24</f>
        <v>0</v>
      </c>
      <c r="AS24" s="64"/>
      <c r="AT24" s="268">
        <f>E22*C24</f>
        <v>0</v>
      </c>
      <c r="AU24" s="64"/>
      <c r="AV24" s="268">
        <f>(AG24+100)*C24</f>
        <v>0</v>
      </c>
      <c r="AW24" s="64"/>
      <c r="AX24" s="111" t="str">
        <f>IF(B23=informatieblad!$A$6,informatieblad!$B$6,IF(B23=informatieblad!$A$7,informatieblad!$B$7,IF(B23=informatieblad!$A$8,informatieblad!$B$8,IF(B23=informatieblad!$A$2,informatieblad!$B$2,IF(B23=informatieblad!$A$3,informatieblad!$B$3,IF(B23=informatieblad!$A$4,informatieblad!$B$4,IF(B23=informatieblad!$A$5,informatieblad!$B$5,"")))))))</f>
        <v/>
      </c>
      <c r="AY24" s="276">
        <f>IF(AX24=AY22,(4*C24),0)</f>
        <v>0</v>
      </c>
      <c r="AZ24" s="274">
        <f>IF(AX24=AZ22,(4*C24),0)</f>
        <v>0</v>
      </c>
    </row>
    <row r="25" spans="1:52" ht="5.0999999999999996" customHeight="1" thickBot="1">
      <c r="A25" s="231"/>
      <c r="B25" s="232"/>
      <c r="C25" s="232"/>
      <c r="D25" s="232"/>
      <c r="E25" s="232"/>
      <c r="F25" s="232"/>
      <c r="G25" s="232"/>
      <c r="H25" s="232"/>
      <c r="I25" s="233"/>
      <c r="J25" s="64"/>
    </row>
    <row r="26" spans="1:52" ht="15.75" thickBot="1">
      <c r="A26" s="494"/>
      <c r="B26" s="234"/>
      <c r="C26" s="234"/>
      <c r="D26" s="333">
        <f>(B26&gt;0)*$I$8</f>
        <v>0</v>
      </c>
      <c r="E26" s="244">
        <f>D26+AE28</f>
        <v>0</v>
      </c>
      <c r="F26" s="243">
        <f>(B26&gt;0)*$I$9</f>
        <v>0</v>
      </c>
      <c r="G26" s="221"/>
      <c r="H26" s="221"/>
      <c r="I26" s="222"/>
      <c r="J26" s="345" t="s">
        <v>20</v>
      </c>
      <c r="T26" s="97" t="s">
        <v>14</v>
      </c>
      <c r="U26" s="98" t="s">
        <v>27</v>
      </c>
      <c r="V26" s="98" t="s">
        <v>28</v>
      </c>
      <c r="W26" s="98" t="s">
        <v>27</v>
      </c>
      <c r="X26" s="98" t="s">
        <v>28</v>
      </c>
      <c r="Y26" s="98" t="s">
        <v>29</v>
      </c>
      <c r="Z26" s="66" t="s">
        <v>30</v>
      </c>
      <c r="AA26" s="153" t="s">
        <v>31</v>
      </c>
      <c r="AB26" s="153"/>
      <c r="AC26" s="153"/>
      <c r="AD26" s="97" t="s">
        <v>164</v>
      </c>
      <c r="AE26" s="98" t="s">
        <v>165</v>
      </c>
      <c r="AF26" s="245"/>
      <c r="AG26" s="98" t="s">
        <v>33</v>
      </c>
      <c r="AH26" s="98" t="s">
        <v>34</v>
      </c>
      <c r="AI26" s="98" t="s">
        <v>32</v>
      </c>
      <c r="AJ26" s="98" t="s">
        <v>32</v>
      </c>
      <c r="AK26" s="98" t="s">
        <v>35</v>
      </c>
      <c r="AL26" s="101" t="s">
        <v>36</v>
      </c>
      <c r="AO26" s="97" t="str">
        <f>informatieblad!$A$6</f>
        <v>FL20</v>
      </c>
      <c r="AP26" s="97" t="str">
        <f>informatieblad!$A$7</f>
        <v>FL30</v>
      </c>
      <c r="AQ26" s="99" t="str">
        <f>informatieblad!$A$8</f>
        <v>FL40</v>
      </c>
      <c r="AR26" s="266" t="str">
        <f>informatieblad!$A$5</f>
        <v>none</v>
      </c>
      <c r="AS26" s="64"/>
      <c r="AT26" s="266" t="s">
        <v>17</v>
      </c>
      <c r="AU26" s="64"/>
      <c r="AV26" s="266" t="s">
        <v>37</v>
      </c>
      <c r="AW26" s="64"/>
      <c r="AX26" s="269" t="s">
        <v>38</v>
      </c>
      <c r="AY26" s="272">
        <f>informatieblad!$B$3</f>
        <v>0</v>
      </c>
      <c r="AZ26" s="264">
        <f>informatieblad!$B$4</f>
        <v>0</v>
      </c>
    </row>
    <row r="27" spans="1:52">
      <c r="A27" s="475"/>
      <c r="B27" s="502" t="str">
        <f>IF($C28&gt;0,IF(MAX(B26,C26)&lt;informatieblad!$Q$4,informatieblad!$P$3,IF(MAX(B26,C26)&gt;informatieblad!$R$4,informatieblad!$P$5,informatieblad!$P$4)),"")</f>
        <v/>
      </c>
      <c r="C27" s="503"/>
      <c r="D27" s="223"/>
      <c r="E27" s="223"/>
      <c r="F27" s="334" t="str">
        <f>A26&amp;"-"&amp;informatieblad!$B$18&amp;"-"&amp;B26&amp;"-"&amp;C26&amp;"-"&amp;D26&amp;"-"&amp;E26&amp;"-"&amp;F26&amp;"-"&amp;B27&amp;"-"&amp;F28</f>
        <v>-RctG---0-0-0--Options None</v>
      </c>
      <c r="G27" s="235"/>
      <c r="H27" s="235"/>
      <c r="I27" s="236"/>
      <c r="J27" s="83"/>
      <c r="T27" s="103">
        <f>A26</f>
        <v>0</v>
      </c>
      <c r="U27" s="104" t="s">
        <v>39</v>
      </c>
      <c r="V27" s="104" t="s">
        <v>39</v>
      </c>
      <c r="W27" s="104" t="s">
        <v>40</v>
      </c>
      <c r="X27" s="104" t="s">
        <v>40</v>
      </c>
      <c r="Y27" s="104" t="s">
        <v>40</v>
      </c>
      <c r="Z27" s="105"/>
      <c r="AA27" s="155" t="s">
        <v>27</v>
      </c>
      <c r="AB27" s="155" t="s">
        <v>40</v>
      </c>
      <c r="AC27" s="155" t="s">
        <v>41</v>
      </c>
      <c r="AD27" s="246" t="s">
        <v>166</v>
      </c>
      <c r="AE27" s="104" t="s">
        <v>167</v>
      </c>
      <c r="AF27" s="247"/>
      <c r="AG27" s="104" t="s">
        <v>44</v>
      </c>
      <c r="AH27" s="104"/>
      <c r="AI27" s="104" t="s">
        <v>40</v>
      </c>
      <c r="AJ27" s="104" t="s">
        <v>41</v>
      </c>
      <c r="AK27" s="108"/>
      <c r="AL27" s="109"/>
      <c r="AO27" s="262" t="str">
        <f>informatieblad!$A$2</f>
        <v>FL20 loose</v>
      </c>
      <c r="AP27" s="262" t="str">
        <f>informatieblad!$A$3</f>
        <v>FL30 loose</v>
      </c>
      <c r="AQ27" s="263" t="str">
        <f>informatieblad!$A$4</f>
        <v>FL40 loose</v>
      </c>
      <c r="AR27" s="282"/>
      <c r="AS27" s="64"/>
      <c r="AT27" s="267"/>
      <c r="AU27" s="64"/>
      <c r="AV27" s="267"/>
      <c r="AW27" s="64"/>
      <c r="AX27" s="265" t="s">
        <v>47</v>
      </c>
      <c r="AY27" s="83" t="s">
        <v>23</v>
      </c>
      <c r="AZ27" s="273" t="s">
        <v>23</v>
      </c>
    </row>
    <row r="28" spans="1:52" ht="15.75" thickBot="1">
      <c r="A28" s="495"/>
      <c r="B28" s="227" t="s">
        <v>23</v>
      </c>
      <c r="C28" s="237"/>
      <c r="D28" s="229">
        <f>C28*V28</f>
        <v>0</v>
      </c>
      <c r="E28" s="230" t="s">
        <v>24</v>
      </c>
      <c r="F28" s="498" t="s">
        <v>25</v>
      </c>
      <c r="G28" s="452"/>
      <c r="H28" s="452"/>
      <c r="I28" s="453"/>
      <c r="J28" s="176"/>
      <c r="T28" s="111"/>
      <c r="U28" s="112">
        <f>((((2*(B26+C26))*D26)+(B26*(E26-D26))+(C26*(E26-D26))+(2*(B26*AD28)))/1000000)</f>
        <v>0</v>
      </c>
      <c r="V28" s="112">
        <f>((IF(U28&lt;=informatieblad!$I$18,informatieblad!$I$18,IF(U28&gt;=informatieblad!$I$18,U28))))</f>
        <v>0.5</v>
      </c>
      <c r="W28" s="112">
        <f>((((2*(B26+C26))*D26)+(B26*(E26-D26))+(C26*(E26-D26))+(2*(B26*AD28)))/1000000)</f>
        <v>0</v>
      </c>
      <c r="X28" s="112">
        <f>((IF(W28&lt;=informatieblad!$H$18,informatieblad!$H$18,IF(W28&gt;=informatieblad!$H$18,W28))))</f>
        <v>0</v>
      </c>
      <c r="Y28" s="113">
        <f>((X28*AI28)+(X28*AB28))*C28</f>
        <v>0</v>
      </c>
      <c r="Z28" s="114">
        <f>((V28*AJ28)+(V28*AC28))*C28</f>
        <v>0</v>
      </c>
      <c r="AA28" s="115" t="str">
        <f>F28</f>
        <v>Options None</v>
      </c>
      <c r="AB28" s="115">
        <f>VLOOKUP(F28,informatieblad!$A$37:$D$41,2,FALSE)</f>
        <v>0</v>
      </c>
      <c r="AC28" s="115">
        <f>VLOOKUP(F28,informatieblad!$A$37:$D$41,4,FALSE)</f>
        <v>0</v>
      </c>
      <c r="AD28" s="159">
        <f>(SQRT((((TAN(F26*(PI()/180)))*C26)^2)+(C26^2)))</f>
        <v>0</v>
      </c>
      <c r="AE28" s="119">
        <f>ROUND(((TAN(F26*(PI()/180)))*C26),0)</f>
        <v>0</v>
      </c>
      <c r="AF28" s="119"/>
      <c r="AG28" s="119">
        <f>(MAX(B26:C26))</f>
        <v>0</v>
      </c>
      <c r="AH28" s="119">
        <f>LOOKUP(AG28,informatieblad!$C$27:$C$32,informatieblad!$A$27:$A$32)</f>
        <v>0.5</v>
      </c>
      <c r="AI28" s="118">
        <f>VLOOKUP(AH28,informatieblad!$A$27:$M$32,6,FALSE)</f>
        <v>0</v>
      </c>
      <c r="AJ28" s="118">
        <f>VLOOKUP(AH28,informatieblad!$A$27:$M$32,8,FALSE)</f>
        <v>45.1248</v>
      </c>
      <c r="AK28" s="120">
        <f>VLOOKUP(AH28,informatieblad!$A$27:$M$32,13,FALSE)</f>
        <v>4</v>
      </c>
      <c r="AL28" s="121">
        <f>ROUND((AK28*W28),1)</f>
        <v>0</v>
      </c>
      <c r="AO28" s="111">
        <f>(IF(B27=AO26,((2*B26)+(2*C26)),IF(B27=AO27,((2*B26)+(2*C26)),0)))*C28</f>
        <v>0</v>
      </c>
      <c r="AP28" s="111">
        <f>(IF(B27=AP26,((2*B26)+(2*C26)),IF(B27=AP27,((2*B26)+(2*C26)),0)))*C28</f>
        <v>0</v>
      </c>
      <c r="AQ28" s="261">
        <f>(IF(B27=AQ26,((2*B26)+(2*C26)),IF(B27=AQ27,((2*B26)+(2*C26)),0)))*C28</f>
        <v>0</v>
      </c>
      <c r="AR28" s="283">
        <f>(IF(B27=AR26,((2*B26)+(2*C26)),0))*C28</f>
        <v>0</v>
      </c>
      <c r="AS28" s="64"/>
      <c r="AT28" s="268">
        <f>E26*C28</f>
        <v>0</v>
      </c>
      <c r="AU28" s="64"/>
      <c r="AV28" s="268">
        <f>(AG28+100)*C28</f>
        <v>0</v>
      </c>
      <c r="AW28" s="64"/>
      <c r="AX28" s="111" t="str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/>
      </c>
      <c r="AY28" s="276">
        <f>IF(AX28=AY26,(4*C28),0)</f>
        <v>0</v>
      </c>
      <c r="AZ28" s="274">
        <f>IF(AX28=AZ26,(4*C28),0)</f>
        <v>0</v>
      </c>
    </row>
    <row r="29" spans="1:52" ht="5.0999999999999996" customHeight="1" thickBot="1">
      <c r="A29" s="231"/>
      <c r="B29" s="232"/>
      <c r="C29" s="232"/>
      <c r="D29" s="232"/>
      <c r="E29" s="232"/>
      <c r="F29" s="232"/>
      <c r="G29" s="232"/>
      <c r="H29" s="232"/>
      <c r="I29" s="233"/>
      <c r="J29" s="64"/>
    </row>
    <row r="30" spans="1:52" ht="15.75" thickBot="1">
      <c r="A30" s="494"/>
      <c r="B30" s="234"/>
      <c r="C30" s="234"/>
      <c r="D30" s="333">
        <f>(B30&gt;0)*$I$8</f>
        <v>0</v>
      </c>
      <c r="E30" s="244">
        <f>D30+AE32</f>
        <v>0</v>
      </c>
      <c r="F30" s="243">
        <f>(B30&gt;0)*$I$9</f>
        <v>0</v>
      </c>
      <c r="G30" s="221"/>
      <c r="H30" s="221"/>
      <c r="I30" s="222"/>
      <c r="J30" s="345" t="s">
        <v>20</v>
      </c>
      <c r="T30" s="97" t="s">
        <v>14</v>
      </c>
      <c r="U30" s="98" t="s">
        <v>27</v>
      </c>
      <c r="V30" s="98" t="s">
        <v>28</v>
      </c>
      <c r="W30" s="98" t="s">
        <v>27</v>
      </c>
      <c r="X30" s="98" t="s">
        <v>28</v>
      </c>
      <c r="Y30" s="98" t="s">
        <v>29</v>
      </c>
      <c r="Z30" s="66" t="s">
        <v>30</v>
      </c>
      <c r="AA30" s="153" t="s">
        <v>31</v>
      </c>
      <c r="AB30" s="153"/>
      <c r="AC30" s="153"/>
      <c r="AD30" s="97" t="s">
        <v>164</v>
      </c>
      <c r="AE30" s="98" t="s">
        <v>165</v>
      </c>
      <c r="AF30" s="245"/>
      <c r="AG30" s="98" t="s">
        <v>33</v>
      </c>
      <c r="AH30" s="98" t="s">
        <v>34</v>
      </c>
      <c r="AI30" s="98" t="s">
        <v>32</v>
      </c>
      <c r="AJ30" s="98" t="s">
        <v>32</v>
      </c>
      <c r="AK30" s="98" t="s">
        <v>35</v>
      </c>
      <c r="AL30" s="101" t="s">
        <v>36</v>
      </c>
      <c r="AO30" s="97" t="str">
        <f>informatieblad!$A$6</f>
        <v>FL20</v>
      </c>
      <c r="AP30" s="97" t="str">
        <f>informatieblad!$A$7</f>
        <v>FL30</v>
      </c>
      <c r="AQ30" s="99" t="str">
        <f>informatieblad!$A$8</f>
        <v>FL40</v>
      </c>
      <c r="AR30" s="266" t="str">
        <f>informatieblad!$A$5</f>
        <v>none</v>
      </c>
      <c r="AS30" s="64"/>
      <c r="AT30" s="266" t="s">
        <v>17</v>
      </c>
      <c r="AU30" s="64"/>
      <c r="AV30" s="266" t="s">
        <v>37</v>
      </c>
      <c r="AW30" s="64"/>
      <c r="AX30" s="269" t="s">
        <v>38</v>
      </c>
      <c r="AY30" s="272">
        <f>informatieblad!$B$3</f>
        <v>0</v>
      </c>
      <c r="AZ30" s="264">
        <f>informatieblad!$B$4</f>
        <v>0</v>
      </c>
    </row>
    <row r="31" spans="1:52">
      <c r="A31" s="475"/>
      <c r="B31" s="502" t="str">
        <f>IF($C32&gt;0,IF(MAX(B30,C30)&lt;informatieblad!$Q$4,informatieblad!$P$3,IF(MAX(B30,C30)&gt;informatieblad!$R$4,informatieblad!$P$5,informatieblad!$P$4)),"")</f>
        <v/>
      </c>
      <c r="C31" s="503"/>
      <c r="D31" s="223"/>
      <c r="E31" s="223"/>
      <c r="F31" s="334" t="str">
        <f>A30&amp;"-"&amp;informatieblad!$B$18&amp;"-"&amp;B30&amp;"-"&amp;C30&amp;"-"&amp;D30&amp;"-"&amp;E30&amp;"-"&amp;F30&amp;"-"&amp;B31&amp;"-"&amp;F32</f>
        <v>-RctG---0-0-0--Options None</v>
      </c>
      <c r="G31" s="235"/>
      <c r="H31" s="235"/>
      <c r="I31" s="236"/>
      <c r="J31" s="83"/>
      <c r="T31" s="103">
        <f>A30</f>
        <v>0</v>
      </c>
      <c r="U31" s="104" t="s">
        <v>39</v>
      </c>
      <c r="V31" s="104" t="s">
        <v>39</v>
      </c>
      <c r="W31" s="104" t="s">
        <v>40</v>
      </c>
      <c r="X31" s="104" t="s">
        <v>40</v>
      </c>
      <c r="Y31" s="104" t="s">
        <v>40</v>
      </c>
      <c r="Z31" s="105"/>
      <c r="AA31" s="155" t="s">
        <v>27</v>
      </c>
      <c r="AB31" s="155" t="s">
        <v>40</v>
      </c>
      <c r="AC31" s="155" t="s">
        <v>41</v>
      </c>
      <c r="AD31" s="246" t="s">
        <v>166</v>
      </c>
      <c r="AE31" s="104" t="s">
        <v>167</v>
      </c>
      <c r="AF31" s="247"/>
      <c r="AG31" s="104" t="s">
        <v>44</v>
      </c>
      <c r="AH31" s="104"/>
      <c r="AI31" s="104" t="s">
        <v>40</v>
      </c>
      <c r="AJ31" s="104" t="s">
        <v>41</v>
      </c>
      <c r="AK31" s="108"/>
      <c r="AL31" s="109"/>
      <c r="AO31" s="262" t="str">
        <f>informatieblad!$A$2</f>
        <v>FL20 loose</v>
      </c>
      <c r="AP31" s="262" t="str">
        <f>informatieblad!$A$3</f>
        <v>FL30 loose</v>
      </c>
      <c r="AQ31" s="263" t="str">
        <f>informatieblad!$A$4</f>
        <v>FL40 loose</v>
      </c>
      <c r="AR31" s="282"/>
      <c r="AS31" s="64"/>
      <c r="AT31" s="267"/>
      <c r="AU31" s="64"/>
      <c r="AV31" s="267"/>
      <c r="AW31" s="64"/>
      <c r="AX31" s="265" t="s">
        <v>47</v>
      </c>
      <c r="AY31" s="83" t="s">
        <v>23</v>
      </c>
      <c r="AZ31" s="273" t="s">
        <v>23</v>
      </c>
    </row>
    <row r="32" spans="1:52" ht="15.75" thickBot="1">
      <c r="A32" s="495"/>
      <c r="B32" s="227" t="s">
        <v>23</v>
      </c>
      <c r="C32" s="237"/>
      <c r="D32" s="229">
        <f>C32*V32</f>
        <v>0</v>
      </c>
      <c r="E32" s="230" t="s">
        <v>24</v>
      </c>
      <c r="F32" s="498" t="s">
        <v>25</v>
      </c>
      <c r="G32" s="452"/>
      <c r="H32" s="452"/>
      <c r="I32" s="453"/>
      <c r="J32" s="176"/>
      <c r="T32" s="111"/>
      <c r="U32" s="112">
        <f>((((2*(B30+C30))*D30)+(B30*(E30-D30))+(C30*(E30-D30))+(2*(B30*AD32)))/1000000)</f>
        <v>0</v>
      </c>
      <c r="V32" s="112">
        <f>((IF(U32&lt;=informatieblad!$I$18,informatieblad!$I$18,IF(U32&gt;=informatieblad!$I$18,U32))))</f>
        <v>0.5</v>
      </c>
      <c r="W32" s="112">
        <f>((((2*(B30+C30))*D30)+(B30*(E30-D30))+(C30*(E30-D30))+(2*(B30*AD32)))/1000000)</f>
        <v>0</v>
      </c>
      <c r="X32" s="112">
        <f>((IF(W32&lt;=informatieblad!$H$18,informatieblad!$H$18,IF(W32&gt;=informatieblad!$H$18,W32))))</f>
        <v>0</v>
      </c>
      <c r="Y32" s="113">
        <f>((X32*AI32)+(X32*AB32))*C32</f>
        <v>0</v>
      </c>
      <c r="Z32" s="114">
        <f>((V32*AJ32)+(V32*AC32))*C32</f>
        <v>0</v>
      </c>
      <c r="AA32" s="115" t="str">
        <f>F32</f>
        <v>Options None</v>
      </c>
      <c r="AB32" s="115">
        <f>VLOOKUP(F32,informatieblad!$A$37:$D$41,2,FALSE)</f>
        <v>0</v>
      </c>
      <c r="AC32" s="115">
        <f>VLOOKUP(F32,informatieblad!$A$37:$D$41,4,FALSE)</f>
        <v>0</v>
      </c>
      <c r="AD32" s="159">
        <f>(SQRT((((TAN(F30*(PI()/180)))*C30)^2)+(C30^2)))</f>
        <v>0</v>
      </c>
      <c r="AE32" s="119">
        <f>ROUND(((TAN(F30*(PI()/180)))*C30),0)</f>
        <v>0</v>
      </c>
      <c r="AF32" s="119"/>
      <c r="AG32" s="119">
        <f>(MAX(B30:C30))</f>
        <v>0</v>
      </c>
      <c r="AH32" s="119">
        <f>LOOKUP(AG32,informatieblad!$C$27:$C$32,informatieblad!$A$27:$A$32)</f>
        <v>0.5</v>
      </c>
      <c r="AI32" s="118">
        <f>VLOOKUP(AH32,informatieblad!$A$27:$M$32,6,FALSE)</f>
        <v>0</v>
      </c>
      <c r="AJ32" s="118">
        <f>VLOOKUP(AH32,informatieblad!$A$27:$M$32,8,FALSE)</f>
        <v>45.1248</v>
      </c>
      <c r="AK32" s="120">
        <f>VLOOKUP(AH32,informatieblad!$A$27:$M$32,13,FALSE)</f>
        <v>4</v>
      </c>
      <c r="AL32" s="121">
        <f>ROUND((AK32*W32),1)</f>
        <v>0</v>
      </c>
      <c r="AO32" s="111">
        <f>(IF(B31=AO30,((2*B30)+(2*C30)),IF(B31=AO31,((2*B30)+(2*C30)),0)))*C32</f>
        <v>0</v>
      </c>
      <c r="AP32" s="111">
        <f>(IF(B31=AP30,((2*B30)+(2*C30)),IF(B31=AP31,((2*B30)+(2*C30)),0)))*C32</f>
        <v>0</v>
      </c>
      <c r="AQ32" s="261">
        <f>(IF(B31=AQ30,((2*B30)+(2*C30)),IF(B31=AQ31,((2*B30)+(2*C30)),0)))*C32</f>
        <v>0</v>
      </c>
      <c r="AR32" s="283">
        <f>(IF(B31=AR30,((2*B30)+(2*C30)),0))*C32</f>
        <v>0</v>
      </c>
      <c r="AS32" s="64"/>
      <c r="AT32" s="268">
        <f>E30*C32</f>
        <v>0</v>
      </c>
      <c r="AU32" s="64"/>
      <c r="AV32" s="268">
        <f>(AG32+100)*C32</f>
        <v>0</v>
      </c>
      <c r="AW32" s="64"/>
      <c r="AX32" s="111" t="str">
        <f>IF(B31=informatieblad!$A$6,informatieblad!$B$6,IF(B31=informatieblad!$A$7,informatieblad!$B$7,IF(B31=informatieblad!$A$8,informatieblad!$B$8,IF(B31=informatieblad!$A$2,informatieblad!$B$2,IF(B31=informatieblad!$A$3,informatieblad!$B$3,IF(B31=informatieblad!$A$4,informatieblad!$B$4,IF(B31=informatieblad!$A$5,informatieblad!$B$5,"")))))))</f>
        <v/>
      </c>
      <c r="AY32" s="276">
        <f>IF(AX32=AY30,(4*C32),0)</f>
        <v>0</v>
      </c>
      <c r="AZ32" s="274">
        <f>IF(AX32=AZ30,(4*C32),0)</f>
        <v>0</v>
      </c>
    </row>
    <row r="33" spans="1:52" ht="5.0999999999999996" customHeight="1" thickBot="1">
      <c r="A33" s="231"/>
      <c r="B33" s="232"/>
      <c r="C33" s="232"/>
      <c r="D33" s="232"/>
      <c r="E33" s="232"/>
      <c r="F33" s="232"/>
      <c r="G33" s="232"/>
      <c r="H33" s="232"/>
      <c r="I33" s="233"/>
      <c r="J33" s="64"/>
    </row>
    <row r="34" spans="1:52" ht="15.75" thickBot="1">
      <c r="A34" s="494"/>
      <c r="B34" s="234"/>
      <c r="C34" s="234"/>
      <c r="D34" s="333">
        <f>(B34&gt;0)*$I$8</f>
        <v>0</v>
      </c>
      <c r="E34" s="244">
        <f>D34+AE36</f>
        <v>0</v>
      </c>
      <c r="F34" s="243">
        <f>(B34&gt;0)*$I$9</f>
        <v>0</v>
      </c>
      <c r="G34" s="221"/>
      <c r="H34" s="221"/>
      <c r="I34" s="222"/>
      <c r="J34" s="345" t="s">
        <v>20</v>
      </c>
      <c r="T34" s="97" t="s">
        <v>14</v>
      </c>
      <c r="U34" s="98" t="s">
        <v>27</v>
      </c>
      <c r="V34" s="98" t="s">
        <v>28</v>
      </c>
      <c r="W34" s="98" t="s">
        <v>27</v>
      </c>
      <c r="X34" s="98" t="s">
        <v>28</v>
      </c>
      <c r="Y34" s="98" t="s">
        <v>29</v>
      </c>
      <c r="Z34" s="66" t="s">
        <v>30</v>
      </c>
      <c r="AA34" s="153" t="s">
        <v>31</v>
      </c>
      <c r="AB34" s="153"/>
      <c r="AC34" s="153"/>
      <c r="AD34" s="97" t="s">
        <v>164</v>
      </c>
      <c r="AE34" s="98" t="s">
        <v>165</v>
      </c>
      <c r="AF34" s="245"/>
      <c r="AG34" s="98" t="s">
        <v>33</v>
      </c>
      <c r="AH34" s="98" t="s">
        <v>34</v>
      </c>
      <c r="AI34" s="98" t="s">
        <v>32</v>
      </c>
      <c r="AJ34" s="98" t="s">
        <v>32</v>
      </c>
      <c r="AK34" s="98" t="s">
        <v>35</v>
      </c>
      <c r="AL34" s="101" t="s">
        <v>36</v>
      </c>
      <c r="AO34" s="97" t="str">
        <f>informatieblad!$A$6</f>
        <v>FL20</v>
      </c>
      <c r="AP34" s="97" t="str">
        <f>informatieblad!$A$7</f>
        <v>FL30</v>
      </c>
      <c r="AQ34" s="99" t="str">
        <f>informatieblad!$A$8</f>
        <v>FL40</v>
      </c>
      <c r="AR34" s="266" t="str">
        <f>informatieblad!$A$5</f>
        <v>none</v>
      </c>
      <c r="AS34" s="64"/>
      <c r="AT34" s="266" t="s">
        <v>17</v>
      </c>
      <c r="AU34" s="64"/>
      <c r="AV34" s="266" t="s">
        <v>37</v>
      </c>
      <c r="AW34" s="64"/>
      <c r="AX34" s="269" t="s">
        <v>38</v>
      </c>
      <c r="AY34" s="272">
        <f>informatieblad!$B$3</f>
        <v>0</v>
      </c>
      <c r="AZ34" s="264">
        <f>informatieblad!$B$4</f>
        <v>0</v>
      </c>
    </row>
    <row r="35" spans="1:52">
      <c r="A35" s="475"/>
      <c r="B35" s="502" t="str">
        <f>IF($C36&gt;0,IF(MAX(B34,C34)&lt;informatieblad!$Q$4,informatieblad!$P$3,IF(MAX(B34,C34)&gt;informatieblad!$R$4,informatieblad!$P$5,informatieblad!$P$4)),"")</f>
        <v/>
      </c>
      <c r="C35" s="503"/>
      <c r="D35" s="223"/>
      <c r="E35" s="223"/>
      <c r="F35" s="334" t="str">
        <f>A34&amp;"-"&amp;informatieblad!$B$18&amp;"-"&amp;B34&amp;"-"&amp;C34&amp;"-"&amp;D34&amp;"-"&amp;E34&amp;"-"&amp;F34&amp;"-"&amp;B35&amp;"-"&amp;F36</f>
        <v>-RctG---0-0-0--Options None</v>
      </c>
      <c r="G35" s="235"/>
      <c r="H35" s="235"/>
      <c r="I35" s="236"/>
      <c r="J35" s="83"/>
      <c r="T35" s="103">
        <f>A34</f>
        <v>0</v>
      </c>
      <c r="U35" s="104" t="s">
        <v>39</v>
      </c>
      <c r="V35" s="104" t="s">
        <v>39</v>
      </c>
      <c r="W35" s="104" t="s">
        <v>40</v>
      </c>
      <c r="X35" s="104" t="s">
        <v>40</v>
      </c>
      <c r="Y35" s="104" t="s">
        <v>40</v>
      </c>
      <c r="Z35" s="105"/>
      <c r="AA35" s="155" t="s">
        <v>27</v>
      </c>
      <c r="AB35" s="155" t="s">
        <v>40</v>
      </c>
      <c r="AC35" s="155" t="s">
        <v>41</v>
      </c>
      <c r="AD35" s="246" t="s">
        <v>166</v>
      </c>
      <c r="AE35" s="104" t="s">
        <v>167</v>
      </c>
      <c r="AF35" s="247"/>
      <c r="AG35" s="104" t="s">
        <v>44</v>
      </c>
      <c r="AH35" s="104"/>
      <c r="AI35" s="104" t="s">
        <v>40</v>
      </c>
      <c r="AJ35" s="104" t="s">
        <v>41</v>
      </c>
      <c r="AK35" s="108"/>
      <c r="AL35" s="109"/>
      <c r="AO35" s="262" t="str">
        <f>informatieblad!$A$2</f>
        <v>FL20 loose</v>
      </c>
      <c r="AP35" s="262" t="str">
        <f>informatieblad!$A$3</f>
        <v>FL30 loose</v>
      </c>
      <c r="AQ35" s="263" t="str">
        <f>informatieblad!$A$4</f>
        <v>FL40 loose</v>
      </c>
      <c r="AR35" s="282"/>
      <c r="AS35" s="64"/>
      <c r="AT35" s="267"/>
      <c r="AU35" s="64"/>
      <c r="AV35" s="267"/>
      <c r="AW35" s="64"/>
      <c r="AX35" s="265" t="s">
        <v>47</v>
      </c>
      <c r="AY35" s="83" t="s">
        <v>23</v>
      </c>
      <c r="AZ35" s="273" t="s">
        <v>23</v>
      </c>
    </row>
    <row r="36" spans="1:52" ht="15.75" thickBot="1">
      <c r="A36" s="495"/>
      <c r="B36" s="227" t="s">
        <v>23</v>
      </c>
      <c r="C36" s="237"/>
      <c r="D36" s="229">
        <f>C36*V36</f>
        <v>0</v>
      </c>
      <c r="E36" s="230" t="s">
        <v>24</v>
      </c>
      <c r="F36" s="498" t="s">
        <v>25</v>
      </c>
      <c r="G36" s="452"/>
      <c r="H36" s="452"/>
      <c r="I36" s="453"/>
      <c r="J36" s="176"/>
      <c r="T36" s="111"/>
      <c r="U36" s="112">
        <f>((((2*(B34+C34))*D34)+(B34*(E34-D34))+(C34*(E34-D34))+(2*(B34*AD36)))/1000000)</f>
        <v>0</v>
      </c>
      <c r="V36" s="112">
        <f>((IF(U36&lt;=informatieblad!$I$18,informatieblad!$I$18,IF(U36&gt;=informatieblad!$I$18,U36))))</f>
        <v>0.5</v>
      </c>
      <c r="W36" s="112">
        <f>((((2*(B34+C34))*D34)+(B34*(E34-D34))+(C34*(E34-D34))+(2*(B34*AD36)))/1000000)</f>
        <v>0</v>
      </c>
      <c r="X36" s="112">
        <f>((IF(W36&lt;=informatieblad!$H$18,informatieblad!$H$18,IF(W36&gt;=informatieblad!$H$18,W36))))</f>
        <v>0</v>
      </c>
      <c r="Y36" s="113">
        <f>((X36*AI36)+(X36*AB36))*C36</f>
        <v>0</v>
      </c>
      <c r="Z36" s="114">
        <f>((V36*AJ36)+(V36*AC36))*C36</f>
        <v>0</v>
      </c>
      <c r="AA36" s="115" t="str">
        <f>F36</f>
        <v>Options None</v>
      </c>
      <c r="AB36" s="115">
        <f>VLOOKUP(F36,informatieblad!$A$37:$D$41,2,FALSE)</f>
        <v>0</v>
      </c>
      <c r="AC36" s="115">
        <f>VLOOKUP(F36,informatieblad!$A$37:$D$41,4,FALSE)</f>
        <v>0</v>
      </c>
      <c r="AD36" s="159">
        <f>(SQRT((((TAN(F34*(PI()/180)))*C34)^2)+(C34^2)))</f>
        <v>0</v>
      </c>
      <c r="AE36" s="119">
        <f>ROUND(((TAN(F34*(PI()/180)))*C34),0)</f>
        <v>0</v>
      </c>
      <c r="AF36" s="119"/>
      <c r="AG36" s="119">
        <f>(MAX(B34:C34))</f>
        <v>0</v>
      </c>
      <c r="AH36" s="119">
        <f>LOOKUP(AG36,informatieblad!$C$27:$C$32,informatieblad!$A$27:$A$32)</f>
        <v>0.5</v>
      </c>
      <c r="AI36" s="118">
        <f>VLOOKUP(AH36,informatieblad!$A$27:$M$32,6,FALSE)</f>
        <v>0</v>
      </c>
      <c r="AJ36" s="118">
        <f>VLOOKUP(AH36,informatieblad!$A$27:$M$32,8,FALSE)</f>
        <v>45.1248</v>
      </c>
      <c r="AK36" s="120">
        <f>VLOOKUP(AH36,informatieblad!$A$27:$M$32,13,FALSE)</f>
        <v>4</v>
      </c>
      <c r="AL36" s="121">
        <f>ROUND((AK36*W36),1)</f>
        <v>0</v>
      </c>
      <c r="AO36" s="111">
        <f>(IF(B35=AO34,((2*B34)+(2*C34)),IF(B35=AO35,((2*B34)+(2*C34)),0)))*C36</f>
        <v>0</v>
      </c>
      <c r="AP36" s="111">
        <f>(IF(B35=AP34,((2*B34)+(2*C34)),IF(B35=AP35,((2*B34)+(2*C34)),0)))*C36</f>
        <v>0</v>
      </c>
      <c r="AQ36" s="261">
        <f>(IF(B35=AQ34,((2*B34)+(2*C34)),IF(B35=AQ35,((2*B34)+(2*C34)),0)))*C36</f>
        <v>0</v>
      </c>
      <c r="AR36" s="283">
        <f>(IF(B35=AR34,((2*B34)+(2*C34)),0))*C36</f>
        <v>0</v>
      </c>
      <c r="AS36" s="64"/>
      <c r="AT36" s="268">
        <f>E34*C36</f>
        <v>0</v>
      </c>
      <c r="AU36" s="64"/>
      <c r="AV36" s="268">
        <f>(AG36+100)*C36</f>
        <v>0</v>
      </c>
      <c r="AW36" s="64"/>
      <c r="AX36" s="111" t="str">
        <f>IF(B35=informatieblad!$A$6,informatieblad!$B$6,IF(B35=informatieblad!$A$7,informatieblad!$B$7,IF(B35=informatieblad!$A$8,informatieblad!$B$8,IF(B35=informatieblad!$A$2,informatieblad!$B$2,IF(B35=informatieblad!$A$3,informatieblad!$B$3,IF(B35=informatieblad!$A$4,informatieblad!$B$4,IF(B35=informatieblad!$A$5,informatieblad!$B$5,"")))))))</f>
        <v/>
      </c>
      <c r="AY36" s="276">
        <f>IF(AX36=AY34,(4*C36),0)</f>
        <v>0</v>
      </c>
      <c r="AZ36" s="274">
        <f>IF(AX36=AZ34,(4*C36),0)</f>
        <v>0</v>
      </c>
    </row>
    <row r="37" spans="1:52" ht="5.0999999999999996" customHeight="1" thickBot="1">
      <c r="A37" s="231"/>
      <c r="B37" s="232"/>
      <c r="C37" s="232"/>
      <c r="D37" s="232"/>
      <c r="E37" s="232"/>
      <c r="F37" s="232"/>
      <c r="G37" s="232"/>
      <c r="H37" s="232"/>
      <c r="I37" s="233"/>
      <c r="J37" s="64"/>
    </row>
    <row r="38" spans="1:52" ht="15.75" thickBot="1">
      <c r="A38" s="494"/>
      <c r="B38" s="234"/>
      <c r="C38" s="234"/>
      <c r="D38" s="333">
        <f>(B38&gt;0)*$I$8</f>
        <v>0</v>
      </c>
      <c r="E38" s="244">
        <f>D38+AE40</f>
        <v>0</v>
      </c>
      <c r="F38" s="243">
        <f>(B38&gt;0)*$I$9</f>
        <v>0</v>
      </c>
      <c r="G38" s="221"/>
      <c r="H38" s="221"/>
      <c r="I38" s="222"/>
      <c r="J38" s="345" t="s">
        <v>20</v>
      </c>
      <c r="T38" s="97" t="s">
        <v>14</v>
      </c>
      <c r="U38" s="98" t="s">
        <v>27</v>
      </c>
      <c r="V38" s="98" t="s">
        <v>28</v>
      </c>
      <c r="W38" s="98" t="s">
        <v>27</v>
      </c>
      <c r="X38" s="98" t="s">
        <v>28</v>
      </c>
      <c r="Y38" s="98" t="s">
        <v>29</v>
      </c>
      <c r="Z38" s="66" t="s">
        <v>30</v>
      </c>
      <c r="AA38" s="153" t="s">
        <v>31</v>
      </c>
      <c r="AB38" s="153"/>
      <c r="AC38" s="153"/>
      <c r="AD38" s="97" t="s">
        <v>164</v>
      </c>
      <c r="AE38" s="98" t="s">
        <v>165</v>
      </c>
      <c r="AF38" s="245"/>
      <c r="AG38" s="98" t="s">
        <v>33</v>
      </c>
      <c r="AH38" s="98" t="s">
        <v>34</v>
      </c>
      <c r="AI38" s="98" t="s">
        <v>32</v>
      </c>
      <c r="AJ38" s="98" t="s">
        <v>32</v>
      </c>
      <c r="AK38" s="98" t="s">
        <v>35</v>
      </c>
      <c r="AL38" s="101" t="s">
        <v>36</v>
      </c>
      <c r="AO38" s="97" t="str">
        <f>informatieblad!$A$6</f>
        <v>FL20</v>
      </c>
      <c r="AP38" s="97" t="str">
        <f>informatieblad!$A$7</f>
        <v>FL30</v>
      </c>
      <c r="AQ38" s="99" t="str">
        <f>informatieblad!$A$8</f>
        <v>FL40</v>
      </c>
      <c r="AR38" s="266" t="str">
        <f>informatieblad!$A$5</f>
        <v>none</v>
      </c>
      <c r="AS38" s="64"/>
      <c r="AT38" s="266" t="s">
        <v>17</v>
      </c>
      <c r="AU38" s="64"/>
      <c r="AV38" s="266" t="s">
        <v>37</v>
      </c>
      <c r="AW38" s="64"/>
      <c r="AX38" s="269" t="s">
        <v>38</v>
      </c>
      <c r="AY38" s="272">
        <f>informatieblad!$B$3</f>
        <v>0</v>
      </c>
      <c r="AZ38" s="264">
        <f>informatieblad!$B$4</f>
        <v>0</v>
      </c>
    </row>
    <row r="39" spans="1:52">
      <c r="A39" s="475"/>
      <c r="B39" s="502" t="str">
        <f>IF($C40&gt;0,IF(MAX(B38,C38)&lt;informatieblad!$Q$4,informatieblad!$P$3,IF(MAX(B38,C38)&gt;informatieblad!$R$4,informatieblad!$P$5,informatieblad!$P$4)),"")</f>
        <v/>
      </c>
      <c r="C39" s="503"/>
      <c r="D39" s="223"/>
      <c r="E39" s="223"/>
      <c r="F39" s="334" t="str">
        <f>A38&amp;"-"&amp;informatieblad!$B$18&amp;"-"&amp;B38&amp;"-"&amp;C38&amp;"-"&amp;D38&amp;"-"&amp;E38&amp;"-"&amp;F38&amp;"-"&amp;B39&amp;"-"&amp;F40</f>
        <v>-RctG---0-0-0--Options None</v>
      </c>
      <c r="G39" s="235"/>
      <c r="H39" s="235"/>
      <c r="I39" s="236"/>
      <c r="J39" s="83"/>
      <c r="T39" s="103">
        <f>A38</f>
        <v>0</v>
      </c>
      <c r="U39" s="104" t="s">
        <v>39</v>
      </c>
      <c r="V39" s="104" t="s">
        <v>39</v>
      </c>
      <c r="W39" s="104" t="s">
        <v>40</v>
      </c>
      <c r="X39" s="104" t="s">
        <v>40</v>
      </c>
      <c r="Y39" s="104" t="s">
        <v>40</v>
      </c>
      <c r="Z39" s="105"/>
      <c r="AA39" s="155" t="s">
        <v>27</v>
      </c>
      <c r="AB39" s="155" t="s">
        <v>40</v>
      </c>
      <c r="AC39" s="155" t="s">
        <v>41</v>
      </c>
      <c r="AD39" s="246" t="s">
        <v>166</v>
      </c>
      <c r="AE39" s="104" t="s">
        <v>167</v>
      </c>
      <c r="AF39" s="247"/>
      <c r="AG39" s="104" t="s">
        <v>44</v>
      </c>
      <c r="AH39" s="104"/>
      <c r="AI39" s="104" t="s">
        <v>40</v>
      </c>
      <c r="AJ39" s="104" t="s">
        <v>41</v>
      </c>
      <c r="AK39" s="108"/>
      <c r="AL39" s="109"/>
      <c r="AO39" s="262" t="str">
        <f>informatieblad!$A$2</f>
        <v>FL20 loose</v>
      </c>
      <c r="AP39" s="262" t="str">
        <f>informatieblad!$A$3</f>
        <v>FL30 loose</v>
      </c>
      <c r="AQ39" s="263" t="str">
        <f>informatieblad!$A$4</f>
        <v>FL40 loose</v>
      </c>
      <c r="AR39" s="282"/>
      <c r="AS39" s="64"/>
      <c r="AT39" s="267"/>
      <c r="AU39" s="64"/>
      <c r="AV39" s="267"/>
      <c r="AW39" s="64"/>
      <c r="AX39" s="265" t="s">
        <v>47</v>
      </c>
      <c r="AY39" s="83" t="s">
        <v>23</v>
      </c>
      <c r="AZ39" s="273" t="s">
        <v>23</v>
      </c>
    </row>
    <row r="40" spans="1:52" ht="15.75" thickBot="1">
      <c r="A40" s="495"/>
      <c r="B40" s="227" t="s">
        <v>23</v>
      </c>
      <c r="C40" s="237"/>
      <c r="D40" s="229">
        <f>C40*V40</f>
        <v>0</v>
      </c>
      <c r="E40" s="230" t="s">
        <v>24</v>
      </c>
      <c r="F40" s="498" t="s">
        <v>25</v>
      </c>
      <c r="G40" s="452"/>
      <c r="H40" s="452"/>
      <c r="I40" s="453"/>
      <c r="J40" s="176"/>
      <c r="T40" s="111"/>
      <c r="U40" s="112">
        <f>((((2*(B38+C38))*D38)+(B38*(E38-D38))+(C38*(E38-D38))+(2*(B38*AD40)))/1000000)</f>
        <v>0</v>
      </c>
      <c r="V40" s="112">
        <f>((IF(U40&lt;=informatieblad!$I$18,informatieblad!$I$18,IF(U40&gt;=informatieblad!$I$18,U40))))</f>
        <v>0.5</v>
      </c>
      <c r="W40" s="112">
        <f>((((2*(B38+C38))*D38)+(B38*(E38-D38))+(C38*(E38-D38))+(2*(B38*AD40)))/1000000)</f>
        <v>0</v>
      </c>
      <c r="X40" s="112">
        <f>((IF(W40&lt;=informatieblad!$H$18,informatieblad!$H$18,IF(W40&gt;=informatieblad!$H$18,W40))))</f>
        <v>0</v>
      </c>
      <c r="Y40" s="113">
        <f>((X40*AI40)+(X40*AB40))*C40</f>
        <v>0</v>
      </c>
      <c r="Z40" s="114">
        <f>((V40*AJ40)+(V40*AC40))*C40</f>
        <v>0</v>
      </c>
      <c r="AA40" s="115" t="str">
        <f>F40</f>
        <v>Options None</v>
      </c>
      <c r="AB40" s="115">
        <f>VLOOKUP(F40,informatieblad!$A$37:$D$41,2,FALSE)</f>
        <v>0</v>
      </c>
      <c r="AC40" s="115">
        <f>VLOOKUP(F40,informatieblad!$A$37:$D$41,4,FALSE)</f>
        <v>0</v>
      </c>
      <c r="AD40" s="159">
        <f>(SQRT((((TAN(F38*(PI()/180)))*C38)^2)+(C38^2)))</f>
        <v>0</v>
      </c>
      <c r="AE40" s="119">
        <f>ROUND(((TAN(F38*(PI()/180)))*C38),0)</f>
        <v>0</v>
      </c>
      <c r="AF40" s="119"/>
      <c r="AG40" s="119">
        <f>(MAX(B38:C38))</f>
        <v>0</v>
      </c>
      <c r="AH40" s="119">
        <f>LOOKUP(AG40,informatieblad!$C$27:$C$32,informatieblad!$A$27:$A$32)</f>
        <v>0.5</v>
      </c>
      <c r="AI40" s="118">
        <f>VLOOKUP(AH40,informatieblad!$A$27:$M$32,6,FALSE)</f>
        <v>0</v>
      </c>
      <c r="AJ40" s="118">
        <f>VLOOKUP(AH40,informatieblad!$A$27:$M$32,8,FALSE)</f>
        <v>45.1248</v>
      </c>
      <c r="AK40" s="120">
        <f>VLOOKUP(AH40,informatieblad!$A$27:$M$32,13,FALSE)</f>
        <v>4</v>
      </c>
      <c r="AL40" s="121">
        <f>ROUND((AK40*W40),1)</f>
        <v>0</v>
      </c>
      <c r="AO40" s="111">
        <f>(IF(B39=AO38,((2*B38)+(2*C38)),IF(B39=AO39,((2*B38)+(2*C38)),0)))*C40</f>
        <v>0</v>
      </c>
      <c r="AP40" s="111">
        <f>(IF(B39=AP38,((2*B38)+(2*C38)),IF(B39=AP39,((2*B38)+(2*C38)),0)))*C40</f>
        <v>0</v>
      </c>
      <c r="AQ40" s="261">
        <f>(IF(B39=AQ38,((2*B38)+(2*C38)),IF(B39=AQ39,((2*B38)+(2*C38)),0)))*C40</f>
        <v>0</v>
      </c>
      <c r="AR40" s="283">
        <f>(IF(B39=AR38,((2*B38)+(2*C38)),0))*C40</f>
        <v>0</v>
      </c>
      <c r="AS40" s="64"/>
      <c r="AT40" s="268">
        <f>E38*C40</f>
        <v>0</v>
      </c>
      <c r="AU40" s="64"/>
      <c r="AV40" s="268">
        <f>(AG40+100)*C40</f>
        <v>0</v>
      </c>
      <c r="AW40" s="64"/>
      <c r="AX40" s="111" t="str">
        <f>IF(B39=informatieblad!$A$6,informatieblad!$B$6,IF(B39=informatieblad!$A$7,informatieblad!$B$7,IF(B39=informatieblad!$A$8,informatieblad!$B$8,IF(B39=informatieblad!$A$2,informatieblad!$B$2,IF(B39=informatieblad!$A$3,informatieblad!$B$3,IF(B39=informatieblad!$A$4,informatieblad!$B$4,IF(B39=informatieblad!$A$5,informatieblad!$B$5,"")))))))</f>
        <v/>
      </c>
      <c r="AY40" s="276">
        <f>IF(AX40=AY38,(4*C40),0)</f>
        <v>0</v>
      </c>
      <c r="AZ40" s="274">
        <f>IF(AX40=AZ38,(4*C40),0)</f>
        <v>0</v>
      </c>
    </row>
    <row r="41" spans="1:52" ht="5.0999999999999996" customHeight="1" thickBot="1">
      <c r="A41" s="231"/>
      <c r="B41" s="232"/>
      <c r="C41" s="232"/>
      <c r="D41" s="232"/>
      <c r="E41" s="232"/>
      <c r="F41" s="232"/>
      <c r="G41" s="232"/>
      <c r="H41" s="232"/>
      <c r="I41" s="233"/>
      <c r="J41" s="64"/>
    </row>
    <row r="42" spans="1:52" ht="15.75" thickBot="1">
      <c r="A42" s="494"/>
      <c r="B42" s="234"/>
      <c r="C42" s="234"/>
      <c r="D42" s="333">
        <f>(B42&gt;0)*$I$8</f>
        <v>0</v>
      </c>
      <c r="E42" s="244">
        <f>D42+AE44</f>
        <v>0</v>
      </c>
      <c r="F42" s="243">
        <f>(B42&gt;0)*$I$9</f>
        <v>0</v>
      </c>
      <c r="G42" s="221"/>
      <c r="H42" s="221"/>
      <c r="I42" s="222"/>
      <c r="J42" s="345" t="s">
        <v>20</v>
      </c>
      <c r="T42" s="97" t="s">
        <v>14</v>
      </c>
      <c r="U42" s="98" t="s">
        <v>27</v>
      </c>
      <c r="V42" s="98" t="s">
        <v>28</v>
      </c>
      <c r="W42" s="98" t="s">
        <v>27</v>
      </c>
      <c r="X42" s="98" t="s">
        <v>28</v>
      </c>
      <c r="Y42" s="98" t="s">
        <v>29</v>
      </c>
      <c r="Z42" s="66" t="s">
        <v>30</v>
      </c>
      <c r="AA42" s="153" t="s">
        <v>31</v>
      </c>
      <c r="AB42" s="153"/>
      <c r="AC42" s="153"/>
      <c r="AD42" s="97" t="s">
        <v>164</v>
      </c>
      <c r="AE42" s="98" t="s">
        <v>165</v>
      </c>
      <c r="AF42" s="245"/>
      <c r="AG42" s="98" t="s">
        <v>33</v>
      </c>
      <c r="AH42" s="98" t="s">
        <v>34</v>
      </c>
      <c r="AI42" s="98" t="s">
        <v>32</v>
      </c>
      <c r="AJ42" s="98" t="s">
        <v>32</v>
      </c>
      <c r="AK42" s="98" t="s">
        <v>35</v>
      </c>
      <c r="AL42" s="101" t="s">
        <v>36</v>
      </c>
      <c r="AO42" s="97" t="str">
        <f>informatieblad!$A$6</f>
        <v>FL20</v>
      </c>
      <c r="AP42" s="97" t="str">
        <f>informatieblad!$A$7</f>
        <v>FL30</v>
      </c>
      <c r="AQ42" s="99" t="str">
        <f>informatieblad!$A$8</f>
        <v>FL40</v>
      </c>
      <c r="AR42" s="266" t="str">
        <f>informatieblad!$A$5</f>
        <v>none</v>
      </c>
      <c r="AS42" s="64"/>
      <c r="AT42" s="266" t="s">
        <v>17</v>
      </c>
      <c r="AU42" s="64"/>
      <c r="AV42" s="266" t="s">
        <v>37</v>
      </c>
      <c r="AW42" s="64"/>
      <c r="AX42" s="269" t="s">
        <v>38</v>
      </c>
      <c r="AY42" s="272">
        <f>informatieblad!$B$3</f>
        <v>0</v>
      </c>
      <c r="AZ42" s="264">
        <f>informatieblad!$B$4</f>
        <v>0</v>
      </c>
    </row>
    <row r="43" spans="1:52">
      <c r="A43" s="475"/>
      <c r="B43" s="502" t="str">
        <f>IF($C44&gt;0,IF(MAX(B42,C42)&lt;informatieblad!$Q$4,informatieblad!$P$3,IF(MAX(B42,C42)&gt;informatieblad!$R$4,informatieblad!$P$5,informatieblad!$P$4)),"")</f>
        <v/>
      </c>
      <c r="C43" s="503"/>
      <c r="D43" s="223"/>
      <c r="E43" s="223"/>
      <c r="F43" s="334" t="str">
        <f>A42&amp;"-"&amp;informatieblad!$B$18&amp;"-"&amp;B42&amp;"-"&amp;C42&amp;"-"&amp;D42&amp;"-"&amp;E42&amp;"-"&amp;F42&amp;"-"&amp;B43&amp;"-"&amp;F44</f>
        <v>-RctG---0-0-0--Options None</v>
      </c>
      <c r="G43" s="235"/>
      <c r="H43" s="235"/>
      <c r="I43" s="236"/>
      <c r="J43" s="83"/>
      <c r="T43" s="103">
        <f>A42</f>
        <v>0</v>
      </c>
      <c r="U43" s="104" t="s">
        <v>39</v>
      </c>
      <c r="V43" s="104" t="s">
        <v>39</v>
      </c>
      <c r="W43" s="104" t="s">
        <v>40</v>
      </c>
      <c r="X43" s="104" t="s">
        <v>40</v>
      </c>
      <c r="Y43" s="104" t="s">
        <v>40</v>
      </c>
      <c r="Z43" s="105"/>
      <c r="AA43" s="155" t="s">
        <v>27</v>
      </c>
      <c r="AB43" s="155" t="s">
        <v>40</v>
      </c>
      <c r="AC43" s="155" t="s">
        <v>41</v>
      </c>
      <c r="AD43" s="246" t="s">
        <v>166</v>
      </c>
      <c r="AE43" s="104" t="s">
        <v>167</v>
      </c>
      <c r="AF43" s="247"/>
      <c r="AG43" s="104" t="s">
        <v>44</v>
      </c>
      <c r="AH43" s="104"/>
      <c r="AI43" s="104" t="s">
        <v>40</v>
      </c>
      <c r="AJ43" s="104" t="s">
        <v>41</v>
      </c>
      <c r="AK43" s="108"/>
      <c r="AL43" s="109"/>
      <c r="AO43" s="262" t="str">
        <f>informatieblad!$A$2</f>
        <v>FL20 loose</v>
      </c>
      <c r="AP43" s="262" t="str">
        <f>informatieblad!$A$3</f>
        <v>FL30 loose</v>
      </c>
      <c r="AQ43" s="263" t="str">
        <f>informatieblad!$A$4</f>
        <v>FL40 loose</v>
      </c>
      <c r="AR43" s="282"/>
      <c r="AS43" s="64"/>
      <c r="AT43" s="267"/>
      <c r="AU43" s="64"/>
      <c r="AV43" s="267"/>
      <c r="AW43" s="64"/>
      <c r="AX43" s="265" t="s">
        <v>47</v>
      </c>
      <c r="AY43" s="83" t="s">
        <v>23</v>
      </c>
      <c r="AZ43" s="273" t="s">
        <v>23</v>
      </c>
    </row>
    <row r="44" spans="1:52" ht="15.75" thickBot="1">
      <c r="A44" s="495"/>
      <c r="B44" s="227" t="s">
        <v>23</v>
      </c>
      <c r="C44" s="237"/>
      <c r="D44" s="229">
        <f>C44*V44</f>
        <v>0</v>
      </c>
      <c r="E44" s="230" t="s">
        <v>24</v>
      </c>
      <c r="F44" s="498" t="s">
        <v>25</v>
      </c>
      <c r="G44" s="452"/>
      <c r="H44" s="452"/>
      <c r="I44" s="453"/>
      <c r="J44" s="176"/>
      <c r="T44" s="111"/>
      <c r="U44" s="112">
        <f>((((2*(B42+C42))*D42)+(B42*(E42-D42))+(C42*(E42-D42))+(2*(B42*AD44)))/1000000)</f>
        <v>0</v>
      </c>
      <c r="V44" s="112">
        <f>((IF(U44&lt;=informatieblad!$I$18,informatieblad!$I$18,IF(U44&gt;=informatieblad!$I$18,U44))))</f>
        <v>0.5</v>
      </c>
      <c r="W44" s="112">
        <f>((((2*(B42+C42))*D42)+(B42*(E42-D42))+(C42*(E42-D42))+(2*(B42*AD44)))/1000000)</f>
        <v>0</v>
      </c>
      <c r="X44" s="112">
        <f>((IF(W44&lt;=informatieblad!$H$18,informatieblad!$H$18,IF(W44&gt;=informatieblad!$H$18,W44))))</f>
        <v>0</v>
      </c>
      <c r="Y44" s="113">
        <f>((X44*AI44)+(X44*AB44))*C44</f>
        <v>0</v>
      </c>
      <c r="Z44" s="114">
        <f>((V44*AJ44)+(V44*AC44))*C44</f>
        <v>0</v>
      </c>
      <c r="AA44" s="115" t="str">
        <f>F44</f>
        <v>Options None</v>
      </c>
      <c r="AB44" s="115">
        <f>VLOOKUP(F44,informatieblad!$A$37:$D$41,2,FALSE)</f>
        <v>0</v>
      </c>
      <c r="AC44" s="115">
        <f>VLOOKUP(F44,informatieblad!$A$37:$D$41,4,FALSE)</f>
        <v>0</v>
      </c>
      <c r="AD44" s="159">
        <f>(SQRT((((TAN(F42*(PI()/180)))*C42)^2)+(C42^2)))</f>
        <v>0</v>
      </c>
      <c r="AE44" s="119">
        <f>ROUND(((TAN(F42*(PI()/180)))*C42),0)</f>
        <v>0</v>
      </c>
      <c r="AF44" s="119"/>
      <c r="AG44" s="119">
        <f>(MAX(B42:C42))</f>
        <v>0</v>
      </c>
      <c r="AH44" s="119">
        <f>LOOKUP(AG44,informatieblad!$C$27:$C$32,informatieblad!$A$27:$A$32)</f>
        <v>0.5</v>
      </c>
      <c r="AI44" s="118">
        <f>VLOOKUP(AH44,informatieblad!$A$27:$M$32,6,FALSE)</f>
        <v>0</v>
      </c>
      <c r="AJ44" s="118">
        <f>VLOOKUP(AH44,informatieblad!$A$27:$M$32,8,FALSE)</f>
        <v>45.1248</v>
      </c>
      <c r="AK44" s="120">
        <f>VLOOKUP(AH44,informatieblad!$A$27:$M$32,13,FALSE)</f>
        <v>4</v>
      </c>
      <c r="AL44" s="121">
        <f>ROUND((AK44*W44),1)</f>
        <v>0</v>
      </c>
      <c r="AO44" s="111">
        <f>(IF(B43=AO42,((2*B42)+(2*C42)),IF(B43=AO43,((2*B42)+(2*C42)),0)))*C44</f>
        <v>0</v>
      </c>
      <c r="AP44" s="111">
        <f>(IF(B43=AP42,((2*B42)+(2*C42)),IF(B43=AP43,((2*B42)+(2*C42)),0)))*C44</f>
        <v>0</v>
      </c>
      <c r="AQ44" s="261">
        <f>(IF(B43=AQ42,((2*B42)+(2*C42)),IF(B43=AQ43,((2*B42)+(2*C42)),0)))*C44</f>
        <v>0</v>
      </c>
      <c r="AR44" s="283">
        <f>(IF(B43=AR42,((2*B42)+(2*C42)),0))*C44</f>
        <v>0</v>
      </c>
      <c r="AS44" s="64"/>
      <c r="AT44" s="268">
        <f>E42*C44</f>
        <v>0</v>
      </c>
      <c r="AU44" s="64"/>
      <c r="AV44" s="268">
        <f>(AG44+100)*C44</f>
        <v>0</v>
      </c>
      <c r="AW44" s="64"/>
      <c r="AX44" s="111" t="str">
        <f>IF(B43=informatieblad!$A$6,informatieblad!$B$6,IF(B43=informatieblad!$A$7,informatieblad!$B$7,IF(B43=informatieblad!$A$8,informatieblad!$B$8,IF(B43=informatieblad!$A$2,informatieblad!$B$2,IF(B43=informatieblad!$A$3,informatieblad!$B$3,IF(B43=informatieblad!$A$4,informatieblad!$B$4,IF(B43=informatieblad!$A$5,informatieblad!$B$5,"")))))))</f>
        <v/>
      </c>
      <c r="AY44" s="276">
        <f>IF(AX44=AY42,(4*C44),0)</f>
        <v>0</v>
      </c>
      <c r="AZ44" s="274">
        <f>IF(AX44=AZ42,(4*C44),0)</f>
        <v>0</v>
      </c>
    </row>
    <row r="45" spans="1:52" ht="5.0999999999999996" customHeight="1" thickBot="1">
      <c r="A45" s="231"/>
      <c r="B45" s="232"/>
      <c r="C45" s="232"/>
      <c r="D45" s="232"/>
      <c r="E45" s="232"/>
      <c r="F45" s="232"/>
      <c r="G45" s="232"/>
      <c r="H45" s="232"/>
      <c r="I45" s="233"/>
      <c r="J45" s="64"/>
    </row>
    <row r="46" spans="1:52" ht="15.75" thickBot="1">
      <c r="A46" s="494"/>
      <c r="B46" s="234"/>
      <c r="C46" s="234"/>
      <c r="D46" s="333">
        <f>(B46&gt;0)*$I$8</f>
        <v>0</v>
      </c>
      <c r="E46" s="244">
        <f>D46+AE48</f>
        <v>0</v>
      </c>
      <c r="F46" s="243">
        <f>(B46&gt;0)*$I$9</f>
        <v>0</v>
      </c>
      <c r="G46" s="221"/>
      <c r="H46" s="221"/>
      <c r="I46" s="222"/>
      <c r="J46" s="345" t="s">
        <v>20</v>
      </c>
      <c r="T46" s="97" t="s">
        <v>14</v>
      </c>
      <c r="U46" s="98" t="s">
        <v>27</v>
      </c>
      <c r="V46" s="98" t="s">
        <v>28</v>
      </c>
      <c r="W46" s="98" t="s">
        <v>27</v>
      </c>
      <c r="X46" s="98" t="s">
        <v>28</v>
      </c>
      <c r="Y46" s="98" t="s">
        <v>29</v>
      </c>
      <c r="Z46" s="66" t="s">
        <v>30</v>
      </c>
      <c r="AA46" s="153" t="s">
        <v>31</v>
      </c>
      <c r="AB46" s="153"/>
      <c r="AC46" s="153"/>
      <c r="AD46" s="97" t="s">
        <v>164</v>
      </c>
      <c r="AE46" s="98" t="s">
        <v>165</v>
      </c>
      <c r="AF46" s="245"/>
      <c r="AG46" s="98" t="s">
        <v>33</v>
      </c>
      <c r="AH46" s="98" t="s">
        <v>34</v>
      </c>
      <c r="AI46" s="98" t="s">
        <v>32</v>
      </c>
      <c r="AJ46" s="98" t="s">
        <v>32</v>
      </c>
      <c r="AK46" s="98" t="s">
        <v>35</v>
      </c>
      <c r="AL46" s="101" t="s">
        <v>36</v>
      </c>
      <c r="AO46" s="97" t="str">
        <f>informatieblad!$A$6</f>
        <v>FL20</v>
      </c>
      <c r="AP46" s="97" t="str">
        <f>informatieblad!$A$7</f>
        <v>FL30</v>
      </c>
      <c r="AQ46" s="99" t="str">
        <f>informatieblad!$A$8</f>
        <v>FL40</v>
      </c>
      <c r="AR46" s="266" t="str">
        <f>informatieblad!$A$5</f>
        <v>none</v>
      </c>
      <c r="AS46" s="64"/>
      <c r="AT46" s="266" t="s">
        <v>17</v>
      </c>
      <c r="AU46" s="64"/>
      <c r="AV46" s="266" t="s">
        <v>37</v>
      </c>
      <c r="AW46" s="64"/>
      <c r="AX46" s="269" t="s">
        <v>38</v>
      </c>
      <c r="AY46" s="272">
        <f>informatieblad!$B$3</f>
        <v>0</v>
      </c>
      <c r="AZ46" s="264">
        <f>informatieblad!$B$4</f>
        <v>0</v>
      </c>
    </row>
    <row r="47" spans="1:52">
      <c r="A47" s="475"/>
      <c r="B47" s="502" t="str">
        <f>IF($C48&gt;0,IF(MAX(B46,C46)&lt;informatieblad!$Q$4,informatieblad!$P$3,IF(MAX(B46,C46)&gt;informatieblad!$R$4,informatieblad!$P$5,informatieblad!$P$4)),"")</f>
        <v/>
      </c>
      <c r="C47" s="503"/>
      <c r="D47" s="223"/>
      <c r="E47" s="223"/>
      <c r="F47" s="334" t="str">
        <f>A46&amp;"-"&amp;informatieblad!$B$18&amp;"-"&amp;B46&amp;"-"&amp;C46&amp;"-"&amp;D46&amp;"-"&amp;E46&amp;"-"&amp;F46&amp;"-"&amp;B47&amp;"-"&amp;F48</f>
        <v>-RctG---0-0-0--Options None</v>
      </c>
      <c r="G47" s="235"/>
      <c r="H47" s="235"/>
      <c r="I47" s="236"/>
      <c r="J47" s="83"/>
      <c r="T47" s="103">
        <f>A46</f>
        <v>0</v>
      </c>
      <c r="U47" s="104" t="s">
        <v>39</v>
      </c>
      <c r="V47" s="104" t="s">
        <v>39</v>
      </c>
      <c r="W47" s="104" t="s">
        <v>40</v>
      </c>
      <c r="X47" s="104" t="s">
        <v>40</v>
      </c>
      <c r="Y47" s="104" t="s">
        <v>40</v>
      </c>
      <c r="Z47" s="105"/>
      <c r="AA47" s="155" t="s">
        <v>27</v>
      </c>
      <c r="AB47" s="155" t="s">
        <v>40</v>
      </c>
      <c r="AC47" s="155" t="s">
        <v>41</v>
      </c>
      <c r="AD47" s="246" t="s">
        <v>166</v>
      </c>
      <c r="AE47" s="104" t="s">
        <v>167</v>
      </c>
      <c r="AF47" s="247"/>
      <c r="AG47" s="104" t="s">
        <v>44</v>
      </c>
      <c r="AH47" s="104"/>
      <c r="AI47" s="104" t="s">
        <v>40</v>
      </c>
      <c r="AJ47" s="104" t="s">
        <v>41</v>
      </c>
      <c r="AK47" s="108"/>
      <c r="AL47" s="109"/>
      <c r="AO47" s="262" t="str">
        <f>informatieblad!$A$2</f>
        <v>FL20 loose</v>
      </c>
      <c r="AP47" s="262" t="str">
        <f>informatieblad!$A$3</f>
        <v>FL30 loose</v>
      </c>
      <c r="AQ47" s="263" t="str">
        <f>informatieblad!$A$4</f>
        <v>FL40 loose</v>
      </c>
      <c r="AR47" s="282"/>
      <c r="AS47" s="64"/>
      <c r="AT47" s="267"/>
      <c r="AU47" s="64"/>
      <c r="AV47" s="267"/>
      <c r="AW47" s="64"/>
      <c r="AX47" s="265" t="s">
        <v>47</v>
      </c>
      <c r="AY47" s="83" t="s">
        <v>23</v>
      </c>
      <c r="AZ47" s="273" t="s">
        <v>23</v>
      </c>
    </row>
    <row r="48" spans="1:52" ht="15.75" thickBot="1">
      <c r="A48" s="495"/>
      <c r="B48" s="227" t="s">
        <v>23</v>
      </c>
      <c r="C48" s="237"/>
      <c r="D48" s="229">
        <f>C48*V48</f>
        <v>0</v>
      </c>
      <c r="E48" s="230" t="s">
        <v>24</v>
      </c>
      <c r="F48" s="498" t="s">
        <v>25</v>
      </c>
      <c r="G48" s="452"/>
      <c r="H48" s="452"/>
      <c r="I48" s="453"/>
      <c r="J48" s="176"/>
      <c r="T48" s="111"/>
      <c r="U48" s="112">
        <f>((((2*(B46+C46))*D46)+(B46*(E46-D46))+(C46*(E46-D46))+(2*(B46*AD48)))/1000000)</f>
        <v>0</v>
      </c>
      <c r="V48" s="112">
        <f>((IF(U48&lt;=informatieblad!$I$18,informatieblad!$I$18,IF(U48&gt;=informatieblad!$I$18,U48))))</f>
        <v>0.5</v>
      </c>
      <c r="W48" s="112">
        <f>((((2*(B46+C46))*D46)+(B46*(E46-D46))+(C46*(E46-D46))+(2*(B46*AD48)))/1000000)</f>
        <v>0</v>
      </c>
      <c r="X48" s="112">
        <f>((IF(W48&lt;=informatieblad!$H$18,informatieblad!$H$18,IF(W48&gt;=informatieblad!$H$18,W48))))</f>
        <v>0</v>
      </c>
      <c r="Y48" s="113">
        <f>((X48*AI48)+(X48*AB48))*C48</f>
        <v>0</v>
      </c>
      <c r="Z48" s="114">
        <f>((V48*AJ48)+(V48*AC48))*C48</f>
        <v>0</v>
      </c>
      <c r="AA48" s="115" t="str">
        <f>F48</f>
        <v>Options None</v>
      </c>
      <c r="AB48" s="115">
        <f>VLOOKUP(F48,informatieblad!$A$37:$D$41,2,FALSE)</f>
        <v>0</v>
      </c>
      <c r="AC48" s="115">
        <f>VLOOKUP(F48,informatieblad!$A$37:$D$41,4,FALSE)</f>
        <v>0</v>
      </c>
      <c r="AD48" s="159">
        <f>(SQRT((((TAN(F46*(PI()/180)))*C46)^2)+(C46^2)))</f>
        <v>0</v>
      </c>
      <c r="AE48" s="119">
        <f>ROUND(((TAN(F46*(PI()/180)))*C46),0)</f>
        <v>0</v>
      </c>
      <c r="AF48" s="119"/>
      <c r="AG48" s="119">
        <f>(MAX(B46:C46))</f>
        <v>0</v>
      </c>
      <c r="AH48" s="119">
        <f>LOOKUP(AG48,informatieblad!$C$27:$C$32,informatieblad!$A$27:$A$32)</f>
        <v>0.5</v>
      </c>
      <c r="AI48" s="118">
        <f>VLOOKUP(AH48,informatieblad!$A$27:$M$32,6,FALSE)</f>
        <v>0</v>
      </c>
      <c r="AJ48" s="118">
        <f>VLOOKUP(AH48,informatieblad!$A$27:$M$32,8,FALSE)</f>
        <v>45.1248</v>
      </c>
      <c r="AK48" s="120">
        <f>VLOOKUP(AH48,informatieblad!$A$27:$M$32,13,FALSE)</f>
        <v>4</v>
      </c>
      <c r="AL48" s="121">
        <f>ROUND((AK48*W48),1)</f>
        <v>0</v>
      </c>
      <c r="AO48" s="111">
        <f>(IF(B47=AO46,((2*B46)+(2*C46)),IF(B47=AO47,((2*B46)+(2*C46)),0)))*C48</f>
        <v>0</v>
      </c>
      <c r="AP48" s="111">
        <f>(IF(B47=AP46,((2*B46)+(2*C46)),IF(B47=AP47,((2*B46)+(2*C46)),0)))*C48</f>
        <v>0</v>
      </c>
      <c r="AQ48" s="261">
        <f>(IF(B47=AQ46,((2*B46)+(2*C46)),IF(B47=AQ47,((2*B46)+(2*C46)),0)))*C48</f>
        <v>0</v>
      </c>
      <c r="AR48" s="283">
        <f>(IF(B47=AR46,((2*B46)+(2*C46)),0))*C48</f>
        <v>0</v>
      </c>
      <c r="AS48" s="64"/>
      <c r="AT48" s="268">
        <f>E46*C48</f>
        <v>0</v>
      </c>
      <c r="AU48" s="64"/>
      <c r="AV48" s="268">
        <f>(AG48+100)*C48</f>
        <v>0</v>
      </c>
      <c r="AW48" s="64"/>
      <c r="AX48" s="111" t="str">
        <f>IF(B47=informatieblad!$A$6,informatieblad!$B$6,IF(B47=informatieblad!$A$7,informatieblad!$B$7,IF(B47=informatieblad!$A$8,informatieblad!$B$8,IF(B47=informatieblad!$A$2,informatieblad!$B$2,IF(B47=informatieblad!$A$3,informatieblad!$B$3,IF(B47=informatieblad!$A$4,informatieblad!$B$4,IF(B47=informatieblad!$A$5,informatieblad!$B$5,"")))))))</f>
        <v/>
      </c>
      <c r="AY48" s="276">
        <f>IF(AX48=AY46,(4*C48),0)</f>
        <v>0</v>
      </c>
      <c r="AZ48" s="274">
        <f>IF(AX48=AZ46,(4*C48),0)</f>
        <v>0</v>
      </c>
    </row>
    <row r="49" spans="1:52" ht="5.0999999999999996" customHeight="1" thickBot="1">
      <c r="A49" s="231"/>
      <c r="B49" s="232"/>
      <c r="C49" s="232"/>
      <c r="D49" s="232"/>
      <c r="E49" s="232"/>
      <c r="F49" s="232"/>
      <c r="G49" s="232"/>
      <c r="H49" s="232"/>
      <c r="I49" s="233"/>
      <c r="J49" s="64"/>
    </row>
    <row r="50" spans="1:52" ht="15.75" thickBot="1">
      <c r="A50" s="494"/>
      <c r="B50" s="234"/>
      <c r="C50" s="234"/>
      <c r="D50" s="333">
        <f>(B50&gt;0)*$I$8</f>
        <v>0</v>
      </c>
      <c r="E50" s="244">
        <f>D50+AE52</f>
        <v>0</v>
      </c>
      <c r="F50" s="243">
        <f>(B50&gt;0)*$I$9</f>
        <v>0</v>
      </c>
      <c r="G50" s="221"/>
      <c r="H50" s="221"/>
      <c r="I50" s="222"/>
      <c r="J50" s="345" t="s">
        <v>20</v>
      </c>
      <c r="T50" s="97" t="s">
        <v>14</v>
      </c>
      <c r="U50" s="98" t="s">
        <v>27</v>
      </c>
      <c r="V50" s="98" t="s">
        <v>28</v>
      </c>
      <c r="W50" s="98" t="s">
        <v>27</v>
      </c>
      <c r="X50" s="98" t="s">
        <v>28</v>
      </c>
      <c r="Y50" s="98" t="s">
        <v>29</v>
      </c>
      <c r="Z50" s="66" t="s">
        <v>30</v>
      </c>
      <c r="AA50" s="153" t="s">
        <v>31</v>
      </c>
      <c r="AB50" s="153"/>
      <c r="AC50" s="153"/>
      <c r="AD50" s="97" t="s">
        <v>164</v>
      </c>
      <c r="AE50" s="98" t="s">
        <v>165</v>
      </c>
      <c r="AF50" s="245"/>
      <c r="AG50" s="98" t="s">
        <v>33</v>
      </c>
      <c r="AH50" s="98" t="s">
        <v>34</v>
      </c>
      <c r="AI50" s="98" t="s">
        <v>32</v>
      </c>
      <c r="AJ50" s="98" t="s">
        <v>32</v>
      </c>
      <c r="AK50" s="98" t="s">
        <v>35</v>
      </c>
      <c r="AL50" s="101" t="s">
        <v>36</v>
      </c>
      <c r="AO50" s="97" t="str">
        <f>informatieblad!$A$6</f>
        <v>FL20</v>
      </c>
      <c r="AP50" s="97" t="str">
        <f>informatieblad!$A$7</f>
        <v>FL30</v>
      </c>
      <c r="AQ50" s="99" t="str">
        <f>informatieblad!$A$8</f>
        <v>FL40</v>
      </c>
      <c r="AR50" s="266" t="str">
        <f>informatieblad!$A$5</f>
        <v>none</v>
      </c>
      <c r="AS50" s="64"/>
      <c r="AT50" s="266" t="s">
        <v>17</v>
      </c>
      <c r="AU50" s="64"/>
      <c r="AV50" s="266" t="s">
        <v>37</v>
      </c>
      <c r="AW50" s="64"/>
      <c r="AX50" s="269" t="s">
        <v>38</v>
      </c>
      <c r="AY50" s="272">
        <f>informatieblad!$B$3</f>
        <v>0</v>
      </c>
      <c r="AZ50" s="264">
        <f>informatieblad!$B$4</f>
        <v>0</v>
      </c>
    </row>
    <row r="51" spans="1:52">
      <c r="A51" s="475"/>
      <c r="B51" s="502" t="str">
        <f>IF($C52&gt;0,IF(MAX(B50,C50)&lt;informatieblad!$Q$4,informatieblad!$P$3,IF(MAX(B50,C50)&gt;informatieblad!$R$4,informatieblad!$P$5,informatieblad!$P$4)),"")</f>
        <v/>
      </c>
      <c r="C51" s="503"/>
      <c r="D51" s="223"/>
      <c r="E51" s="223"/>
      <c r="F51" s="334" t="str">
        <f>A50&amp;"-"&amp;informatieblad!$B$18&amp;"-"&amp;B50&amp;"-"&amp;C50&amp;"-"&amp;D50&amp;"-"&amp;E50&amp;"-"&amp;F50&amp;"-"&amp;B51&amp;"-"&amp;F52</f>
        <v>-RctG---0-0-0--Options None</v>
      </c>
      <c r="G51" s="235"/>
      <c r="H51" s="235"/>
      <c r="I51" s="236"/>
      <c r="J51" s="83"/>
      <c r="T51" s="103">
        <f>A50</f>
        <v>0</v>
      </c>
      <c r="U51" s="104" t="s">
        <v>39</v>
      </c>
      <c r="V51" s="104" t="s">
        <v>39</v>
      </c>
      <c r="W51" s="104" t="s">
        <v>40</v>
      </c>
      <c r="X51" s="104" t="s">
        <v>40</v>
      </c>
      <c r="Y51" s="104" t="s">
        <v>40</v>
      </c>
      <c r="Z51" s="105"/>
      <c r="AA51" s="155" t="s">
        <v>27</v>
      </c>
      <c r="AB51" s="155" t="s">
        <v>40</v>
      </c>
      <c r="AC51" s="155" t="s">
        <v>41</v>
      </c>
      <c r="AD51" s="246" t="s">
        <v>166</v>
      </c>
      <c r="AE51" s="104" t="s">
        <v>167</v>
      </c>
      <c r="AF51" s="247"/>
      <c r="AG51" s="104" t="s">
        <v>44</v>
      </c>
      <c r="AH51" s="104"/>
      <c r="AI51" s="104" t="s">
        <v>40</v>
      </c>
      <c r="AJ51" s="104" t="s">
        <v>41</v>
      </c>
      <c r="AK51" s="108"/>
      <c r="AL51" s="109"/>
      <c r="AO51" s="262" t="str">
        <f>informatieblad!$A$2</f>
        <v>FL20 loose</v>
      </c>
      <c r="AP51" s="262" t="str">
        <f>informatieblad!$A$3</f>
        <v>FL30 loose</v>
      </c>
      <c r="AQ51" s="263" t="str">
        <f>informatieblad!$A$4</f>
        <v>FL40 loose</v>
      </c>
      <c r="AR51" s="282"/>
      <c r="AS51" s="64"/>
      <c r="AT51" s="267"/>
      <c r="AU51" s="64"/>
      <c r="AV51" s="267"/>
      <c r="AW51" s="64"/>
      <c r="AX51" s="265" t="s">
        <v>47</v>
      </c>
      <c r="AY51" s="83" t="s">
        <v>23</v>
      </c>
      <c r="AZ51" s="273" t="s">
        <v>23</v>
      </c>
    </row>
    <row r="52" spans="1:52" ht="15.75" thickBot="1">
      <c r="A52" s="495"/>
      <c r="B52" s="227" t="s">
        <v>23</v>
      </c>
      <c r="C52" s="237"/>
      <c r="D52" s="229">
        <f>C52*V52</f>
        <v>0</v>
      </c>
      <c r="E52" s="230" t="s">
        <v>24</v>
      </c>
      <c r="F52" s="498" t="s">
        <v>25</v>
      </c>
      <c r="G52" s="452"/>
      <c r="H52" s="452"/>
      <c r="I52" s="453"/>
      <c r="J52" s="176"/>
      <c r="T52" s="111"/>
      <c r="U52" s="112">
        <f>((((2*(B50+C50))*D50)+(B50*(E50-D50))+(C50*(E50-D50))+(2*(B50*AD52)))/1000000)</f>
        <v>0</v>
      </c>
      <c r="V52" s="112">
        <f>((IF(U52&lt;=informatieblad!$I$18,informatieblad!$I$18,IF(U52&gt;=informatieblad!$I$18,U52))))</f>
        <v>0.5</v>
      </c>
      <c r="W52" s="112">
        <f>((((2*(B50+C50))*D50)+(B50*(E50-D50))+(C50*(E50-D50))+(2*(B50*AD52)))/1000000)</f>
        <v>0</v>
      </c>
      <c r="X52" s="112">
        <f>((IF(W52&lt;=informatieblad!$H$18,informatieblad!$H$18,IF(W52&gt;=informatieblad!$H$18,W52))))</f>
        <v>0</v>
      </c>
      <c r="Y52" s="113">
        <f>((X52*AI52)+(X52*AB52))*C52</f>
        <v>0</v>
      </c>
      <c r="Z52" s="114">
        <f>((V52*AJ52)+(V52*AC52))*C52</f>
        <v>0</v>
      </c>
      <c r="AA52" s="115" t="str">
        <f>F52</f>
        <v>Options None</v>
      </c>
      <c r="AB52" s="115">
        <f>VLOOKUP(F52,informatieblad!$A$37:$D$41,2,FALSE)</f>
        <v>0</v>
      </c>
      <c r="AC52" s="115">
        <f>VLOOKUP(F52,informatieblad!$A$37:$D$41,4,FALSE)</f>
        <v>0</v>
      </c>
      <c r="AD52" s="159">
        <f>(SQRT((((TAN(F50*(PI()/180)))*C50)^2)+(C50^2)))</f>
        <v>0</v>
      </c>
      <c r="AE52" s="119">
        <f>ROUND(((TAN(F50*(PI()/180)))*C50),0)</f>
        <v>0</v>
      </c>
      <c r="AF52" s="119"/>
      <c r="AG52" s="119">
        <f>(MAX(B50:C50))</f>
        <v>0</v>
      </c>
      <c r="AH52" s="119">
        <f>LOOKUP(AG52,informatieblad!$C$27:$C$32,informatieblad!$A$27:$A$32)</f>
        <v>0.5</v>
      </c>
      <c r="AI52" s="118">
        <f>VLOOKUP(AH52,informatieblad!$A$27:$M$32,6,FALSE)</f>
        <v>0</v>
      </c>
      <c r="AJ52" s="118">
        <f>VLOOKUP(AH52,informatieblad!$A$27:$M$32,8,FALSE)</f>
        <v>45.1248</v>
      </c>
      <c r="AK52" s="120">
        <f>VLOOKUP(AH52,informatieblad!$A$27:$M$32,13,FALSE)</f>
        <v>4</v>
      </c>
      <c r="AL52" s="121">
        <f>ROUND((AK52*W52),1)</f>
        <v>0</v>
      </c>
      <c r="AO52" s="111">
        <f>(IF(B51=AO50,((2*B50)+(2*C50)),IF(B51=AO51,((2*B50)+(2*C50)),0)))*C52</f>
        <v>0</v>
      </c>
      <c r="AP52" s="111">
        <f>(IF(B51=AP50,((2*B50)+(2*C50)),IF(B51=AP51,((2*B50)+(2*C50)),0)))*C52</f>
        <v>0</v>
      </c>
      <c r="AQ52" s="261">
        <f>(IF(B51=AQ50,((2*B50)+(2*C50)),IF(B51=AQ51,((2*B50)+(2*C50)),0)))*C52</f>
        <v>0</v>
      </c>
      <c r="AR52" s="283">
        <f>(IF(B51=AR50,((2*B50)+(2*C50)),0))*C52</f>
        <v>0</v>
      </c>
      <c r="AS52" s="64"/>
      <c r="AT52" s="268">
        <f>E50*C52</f>
        <v>0</v>
      </c>
      <c r="AU52" s="64"/>
      <c r="AV52" s="268">
        <f>(AG52+100)*C52</f>
        <v>0</v>
      </c>
      <c r="AW52" s="64"/>
      <c r="AX52" s="111" t="str">
        <f>IF(B51=informatieblad!$A$6,informatieblad!$B$6,IF(B51=informatieblad!$A$7,informatieblad!$B$7,IF(B51=informatieblad!$A$8,informatieblad!$B$8,IF(B51=informatieblad!$A$2,informatieblad!$B$2,IF(B51=informatieblad!$A$3,informatieblad!$B$3,IF(B51=informatieblad!$A$4,informatieblad!$B$4,IF(B51=informatieblad!$A$5,informatieblad!$B$5,"")))))))</f>
        <v/>
      </c>
      <c r="AY52" s="276">
        <f>IF(AX52=AY50,(4*C52),0)</f>
        <v>0</v>
      </c>
      <c r="AZ52" s="274">
        <f>IF(AX52=AZ50,(4*C52),0)</f>
        <v>0</v>
      </c>
    </row>
    <row r="53" spans="1:52" ht="5.0999999999999996" customHeight="1" thickBot="1">
      <c r="A53" s="231"/>
      <c r="B53" s="232"/>
      <c r="C53" s="232"/>
      <c r="D53" s="232"/>
      <c r="E53" s="232"/>
      <c r="F53" s="232"/>
      <c r="G53" s="232"/>
      <c r="H53" s="232"/>
      <c r="I53" s="233"/>
      <c r="J53" s="64"/>
    </row>
    <row r="54" spans="1:52" ht="15.75" thickBot="1">
      <c r="A54" s="494"/>
      <c r="B54" s="234"/>
      <c r="C54" s="234"/>
      <c r="D54" s="333">
        <f>(B54&gt;0)*$I$8</f>
        <v>0</v>
      </c>
      <c r="E54" s="244">
        <f>D54+AE56</f>
        <v>0</v>
      </c>
      <c r="F54" s="243">
        <f>(B54&gt;0)*$I$9</f>
        <v>0</v>
      </c>
      <c r="G54" s="221"/>
      <c r="H54" s="221"/>
      <c r="I54" s="222"/>
      <c r="J54" s="345" t="s">
        <v>20</v>
      </c>
      <c r="T54" s="97" t="s">
        <v>14</v>
      </c>
      <c r="U54" s="98" t="s">
        <v>27</v>
      </c>
      <c r="V54" s="98" t="s">
        <v>28</v>
      </c>
      <c r="W54" s="98" t="s">
        <v>27</v>
      </c>
      <c r="X54" s="98" t="s">
        <v>28</v>
      </c>
      <c r="Y54" s="98" t="s">
        <v>29</v>
      </c>
      <c r="Z54" s="66" t="s">
        <v>30</v>
      </c>
      <c r="AA54" s="153" t="s">
        <v>31</v>
      </c>
      <c r="AB54" s="153"/>
      <c r="AC54" s="153"/>
      <c r="AD54" s="97" t="s">
        <v>164</v>
      </c>
      <c r="AE54" s="98" t="s">
        <v>165</v>
      </c>
      <c r="AF54" s="245"/>
      <c r="AG54" s="98" t="s">
        <v>33</v>
      </c>
      <c r="AH54" s="98" t="s">
        <v>34</v>
      </c>
      <c r="AI54" s="98" t="s">
        <v>32</v>
      </c>
      <c r="AJ54" s="98" t="s">
        <v>32</v>
      </c>
      <c r="AK54" s="98" t="s">
        <v>49</v>
      </c>
      <c r="AL54" s="101" t="s">
        <v>36</v>
      </c>
      <c r="AO54" s="97" t="str">
        <f>informatieblad!$A$6</f>
        <v>FL20</v>
      </c>
      <c r="AP54" s="97" t="str">
        <f>informatieblad!$A$7</f>
        <v>FL30</v>
      </c>
      <c r="AQ54" s="99" t="str">
        <f>informatieblad!$A$8</f>
        <v>FL40</v>
      </c>
      <c r="AR54" s="266" t="str">
        <f>informatieblad!$A$5</f>
        <v>none</v>
      </c>
      <c r="AS54" s="64"/>
      <c r="AT54" s="266" t="s">
        <v>17</v>
      </c>
      <c r="AU54" s="64"/>
      <c r="AV54" s="266" t="s">
        <v>37</v>
      </c>
      <c r="AW54" s="64"/>
      <c r="AX54" s="269" t="s">
        <v>38</v>
      </c>
      <c r="AY54" s="272">
        <f>informatieblad!$B$3</f>
        <v>0</v>
      </c>
      <c r="AZ54" s="264">
        <f>informatieblad!$B$4</f>
        <v>0</v>
      </c>
    </row>
    <row r="55" spans="1:52">
      <c r="A55" s="475"/>
      <c r="B55" s="502" t="str">
        <f>IF($C56&gt;0,IF(MAX(B54,C54)&lt;informatieblad!$Q$4,informatieblad!$P$3,IF(MAX(B54,C54)&gt;informatieblad!$R$4,informatieblad!$P$5,informatieblad!$P$4)),"")</f>
        <v/>
      </c>
      <c r="C55" s="503"/>
      <c r="D55" s="223"/>
      <c r="E55" s="223"/>
      <c r="F55" s="334" t="str">
        <f>A54&amp;"-"&amp;informatieblad!$B$18&amp;"-"&amp;B54&amp;"-"&amp;C54&amp;"-"&amp;D54&amp;"-"&amp;E54&amp;"-"&amp;F54&amp;"-"&amp;B55&amp;"-"&amp;F56</f>
        <v>-RctG---0-0-0--Options None</v>
      </c>
      <c r="G55" s="235"/>
      <c r="H55" s="235"/>
      <c r="I55" s="236"/>
      <c r="J55" s="83"/>
      <c r="T55" s="103">
        <f>A54</f>
        <v>0</v>
      </c>
      <c r="U55" s="104" t="s">
        <v>39</v>
      </c>
      <c r="V55" s="104" t="s">
        <v>39</v>
      </c>
      <c r="W55" s="104" t="s">
        <v>40</v>
      </c>
      <c r="X55" s="104" t="s">
        <v>40</v>
      </c>
      <c r="Y55" s="104" t="s">
        <v>40</v>
      </c>
      <c r="Z55" s="105"/>
      <c r="AA55" s="155" t="s">
        <v>27</v>
      </c>
      <c r="AB55" s="155" t="s">
        <v>40</v>
      </c>
      <c r="AC55" s="155" t="s">
        <v>41</v>
      </c>
      <c r="AD55" s="246" t="s">
        <v>166</v>
      </c>
      <c r="AE55" s="104" t="s">
        <v>167</v>
      </c>
      <c r="AF55" s="247"/>
      <c r="AG55" s="104" t="s">
        <v>44</v>
      </c>
      <c r="AH55" s="104"/>
      <c r="AI55" s="104" t="s">
        <v>40</v>
      </c>
      <c r="AJ55" s="104" t="s">
        <v>41</v>
      </c>
      <c r="AK55" s="108"/>
      <c r="AL55" s="109"/>
      <c r="AO55" s="262" t="str">
        <f>informatieblad!$A$2</f>
        <v>FL20 loose</v>
      </c>
      <c r="AP55" s="262" t="str">
        <f>informatieblad!$A$3</f>
        <v>FL30 loose</v>
      </c>
      <c r="AQ55" s="263" t="str">
        <f>informatieblad!$A$4</f>
        <v>FL40 loose</v>
      </c>
      <c r="AR55" s="282"/>
      <c r="AS55" s="64"/>
      <c r="AT55" s="267"/>
      <c r="AU55" s="64"/>
      <c r="AV55" s="267"/>
      <c r="AW55" s="64"/>
      <c r="AX55" s="265" t="s">
        <v>47</v>
      </c>
      <c r="AY55" s="83" t="s">
        <v>23</v>
      </c>
      <c r="AZ55" s="273" t="s">
        <v>23</v>
      </c>
    </row>
    <row r="56" spans="1:52" ht="15.75" thickBot="1">
      <c r="A56" s="495"/>
      <c r="B56" s="227" t="s">
        <v>23</v>
      </c>
      <c r="C56" s="237"/>
      <c r="D56" s="229">
        <f>C56*V56</f>
        <v>0</v>
      </c>
      <c r="E56" s="230" t="s">
        <v>24</v>
      </c>
      <c r="F56" s="498" t="s">
        <v>25</v>
      </c>
      <c r="G56" s="452"/>
      <c r="H56" s="452"/>
      <c r="I56" s="453"/>
      <c r="J56" s="176"/>
      <c r="T56" s="111"/>
      <c r="U56" s="112">
        <f>((((2*(B54+C54))*D54)+(B54*(E54-D54))+(C54*(E54-D54))+(2*(B54*AD56)))/1000000)</f>
        <v>0</v>
      </c>
      <c r="V56" s="112">
        <f>((IF(U56&lt;=informatieblad!$I$18,informatieblad!$I$18,IF(U56&gt;=informatieblad!$I$18,U56))))</f>
        <v>0.5</v>
      </c>
      <c r="W56" s="112">
        <f>((((2*(B54+C54))*D54)+(B54*(E54-D54))+(C54*(E54-D54))+(2*(B54*AD56)))/1000000)</f>
        <v>0</v>
      </c>
      <c r="X56" s="112">
        <f>((IF(W56&lt;=informatieblad!$H$18,informatieblad!$H$18,IF(W56&gt;=informatieblad!$H$18,W56))))</f>
        <v>0</v>
      </c>
      <c r="Y56" s="113">
        <f>((X56*AI56)+(X56*AB56))*C56</f>
        <v>0</v>
      </c>
      <c r="Z56" s="114">
        <f>((V56*AJ56)+(V56*AC56))*C56</f>
        <v>0</v>
      </c>
      <c r="AA56" s="115" t="str">
        <f>F56</f>
        <v>Options None</v>
      </c>
      <c r="AB56" s="115">
        <f>VLOOKUP(F56,informatieblad!$A$37:$D$41,2,FALSE)</f>
        <v>0</v>
      </c>
      <c r="AC56" s="115">
        <f>VLOOKUP(F56,informatieblad!$A$37:$D$41,4,FALSE)</f>
        <v>0</v>
      </c>
      <c r="AD56" s="159">
        <f>(SQRT((((TAN(F54*(PI()/180)))*C54)^2)+(C54^2)))</f>
        <v>0</v>
      </c>
      <c r="AE56" s="119">
        <f>ROUND(((TAN(F54*(PI()/180)))*C54),0)</f>
        <v>0</v>
      </c>
      <c r="AF56" s="119"/>
      <c r="AG56" s="119">
        <f>(MAX(B54:C54))</f>
        <v>0</v>
      </c>
      <c r="AH56" s="119">
        <f>LOOKUP(AG56,informatieblad!$C$27:$C$32,informatieblad!$A$27:$A$32)</f>
        <v>0.5</v>
      </c>
      <c r="AI56" s="118">
        <f>VLOOKUP(AH56,informatieblad!$A$27:$M$32,6,FALSE)</f>
        <v>0</v>
      </c>
      <c r="AJ56" s="118">
        <f>VLOOKUP(AH56,informatieblad!$A$27:$M$32,8,FALSE)</f>
        <v>45.1248</v>
      </c>
      <c r="AK56" s="120">
        <f>VLOOKUP(AH56,informatieblad!$A$27:$M$32,13,FALSE)</f>
        <v>4</v>
      </c>
      <c r="AL56" s="121">
        <f>ROUND((AK56*W56),1)</f>
        <v>0</v>
      </c>
      <c r="AO56" s="111">
        <f>(IF(B55=AO54,((2*B54)+(2*C54)),IF(B55=AO55,((2*B54)+(2*C54)),0)))*C56</f>
        <v>0</v>
      </c>
      <c r="AP56" s="111">
        <f>(IF(B55=AP54,((2*B54)+(2*C54)),IF(B55=AP55,((2*B54)+(2*C54)),0)))*C56</f>
        <v>0</v>
      </c>
      <c r="AQ56" s="261">
        <f>(IF(B55=AQ54,((2*B54)+(2*C54)),IF(B55=AQ55,((2*B54)+(2*C54)),0)))*C56</f>
        <v>0</v>
      </c>
      <c r="AR56" s="283">
        <f>(IF(B55=AR54,((2*B54)+(2*C54)),0))*C56</f>
        <v>0</v>
      </c>
      <c r="AS56" s="64"/>
      <c r="AT56" s="268">
        <f>E54*C56</f>
        <v>0</v>
      </c>
      <c r="AU56" s="64"/>
      <c r="AV56" s="268">
        <f>(AG56+100)*C56</f>
        <v>0</v>
      </c>
      <c r="AW56" s="64"/>
      <c r="AX56" s="111" t="str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/>
      </c>
      <c r="AY56" s="276">
        <f>IF(AX56=AY54,(4*C56),0)</f>
        <v>0</v>
      </c>
      <c r="AZ56" s="274">
        <f>IF(AX56=AZ54,(4*C56),0)</f>
        <v>0</v>
      </c>
    </row>
    <row r="57" spans="1:52" ht="5.0999999999999996" customHeight="1" thickBot="1">
      <c r="A57" s="231"/>
      <c r="B57" s="232"/>
      <c r="C57" s="232"/>
      <c r="D57" s="232"/>
      <c r="E57" s="232"/>
      <c r="F57" s="232"/>
      <c r="G57" s="232"/>
      <c r="H57" s="232"/>
      <c r="I57" s="233"/>
      <c r="J57" s="64"/>
    </row>
    <row r="58" spans="1:52" ht="15.75" thickBot="1">
      <c r="A58" s="494"/>
      <c r="B58" s="234"/>
      <c r="C58" s="234"/>
      <c r="D58" s="333">
        <f>(B58&gt;0)*$I$8</f>
        <v>0</v>
      </c>
      <c r="E58" s="244">
        <f>D58+AE60</f>
        <v>0</v>
      </c>
      <c r="F58" s="243">
        <f>(B58&gt;0)*$I$9</f>
        <v>0</v>
      </c>
      <c r="G58" s="221"/>
      <c r="H58" s="221"/>
      <c r="I58" s="222"/>
      <c r="J58" s="345" t="s">
        <v>20</v>
      </c>
      <c r="T58" s="97" t="s">
        <v>14</v>
      </c>
      <c r="U58" s="98" t="s">
        <v>27</v>
      </c>
      <c r="V58" s="98" t="s">
        <v>28</v>
      </c>
      <c r="W58" s="98" t="s">
        <v>27</v>
      </c>
      <c r="X58" s="98" t="s">
        <v>28</v>
      </c>
      <c r="Y58" s="98" t="s">
        <v>29</v>
      </c>
      <c r="Z58" s="66" t="s">
        <v>30</v>
      </c>
      <c r="AA58" s="153" t="s">
        <v>31</v>
      </c>
      <c r="AB58" s="153"/>
      <c r="AC58" s="153"/>
      <c r="AD58" s="97" t="s">
        <v>164</v>
      </c>
      <c r="AE58" s="98" t="s">
        <v>165</v>
      </c>
      <c r="AF58" s="245"/>
      <c r="AG58" s="98" t="s">
        <v>33</v>
      </c>
      <c r="AH58" s="98" t="s">
        <v>34</v>
      </c>
      <c r="AI58" s="98" t="s">
        <v>32</v>
      </c>
      <c r="AJ58" s="98" t="s">
        <v>32</v>
      </c>
      <c r="AK58" s="98" t="s">
        <v>49</v>
      </c>
      <c r="AL58" s="101" t="s">
        <v>36</v>
      </c>
      <c r="AO58" s="97" t="str">
        <f>informatieblad!$A$6</f>
        <v>FL20</v>
      </c>
      <c r="AP58" s="97" t="str">
        <f>informatieblad!$A$7</f>
        <v>FL30</v>
      </c>
      <c r="AQ58" s="99" t="str">
        <f>informatieblad!$A$8</f>
        <v>FL40</v>
      </c>
      <c r="AR58" s="266" t="str">
        <f>informatieblad!$A$5</f>
        <v>none</v>
      </c>
      <c r="AS58" s="64"/>
      <c r="AT58" s="266" t="s">
        <v>17</v>
      </c>
      <c r="AU58" s="64"/>
      <c r="AV58" s="266" t="s">
        <v>37</v>
      </c>
      <c r="AW58" s="64"/>
      <c r="AX58" s="269" t="s">
        <v>38</v>
      </c>
      <c r="AY58" s="272">
        <f>informatieblad!$B$3</f>
        <v>0</v>
      </c>
      <c r="AZ58" s="264">
        <f>informatieblad!$B$4</f>
        <v>0</v>
      </c>
    </row>
    <row r="59" spans="1:52">
      <c r="A59" s="475"/>
      <c r="B59" s="502" t="str">
        <f>IF($C60&gt;0,IF(MAX(B58,C58)&lt;informatieblad!$Q$4,informatieblad!$P$3,IF(MAX(B58,C58)&gt;informatieblad!$R$4,informatieblad!$P$5,informatieblad!$P$4)),"")</f>
        <v/>
      </c>
      <c r="C59" s="503"/>
      <c r="D59" s="223"/>
      <c r="E59" s="223"/>
      <c r="F59" s="334" t="str">
        <f>A58&amp;"-"&amp;informatieblad!$B$18&amp;"-"&amp;B58&amp;"-"&amp;C58&amp;"-"&amp;D58&amp;"-"&amp;E58&amp;"-"&amp;F58&amp;"-"&amp;B59&amp;"-"&amp;F60</f>
        <v>-RctG---0-0-0--Options None</v>
      </c>
      <c r="G59" s="235"/>
      <c r="H59" s="235"/>
      <c r="I59" s="236"/>
      <c r="J59" s="83"/>
      <c r="T59" s="103">
        <f>A58</f>
        <v>0</v>
      </c>
      <c r="U59" s="104" t="s">
        <v>39</v>
      </c>
      <c r="V59" s="104" t="s">
        <v>39</v>
      </c>
      <c r="W59" s="104" t="s">
        <v>40</v>
      </c>
      <c r="X59" s="104" t="s">
        <v>40</v>
      </c>
      <c r="Y59" s="104" t="s">
        <v>40</v>
      </c>
      <c r="Z59" s="105"/>
      <c r="AA59" s="155" t="s">
        <v>27</v>
      </c>
      <c r="AB59" s="155" t="s">
        <v>40</v>
      </c>
      <c r="AC59" s="155" t="s">
        <v>41</v>
      </c>
      <c r="AD59" s="246" t="s">
        <v>166</v>
      </c>
      <c r="AE59" s="104" t="s">
        <v>167</v>
      </c>
      <c r="AF59" s="247"/>
      <c r="AG59" s="104" t="s">
        <v>44</v>
      </c>
      <c r="AH59" s="104"/>
      <c r="AI59" s="104" t="s">
        <v>40</v>
      </c>
      <c r="AJ59" s="104" t="s">
        <v>41</v>
      </c>
      <c r="AK59" s="108"/>
      <c r="AL59" s="109"/>
      <c r="AO59" s="262" t="str">
        <f>informatieblad!$A$2</f>
        <v>FL20 loose</v>
      </c>
      <c r="AP59" s="262" t="str">
        <f>informatieblad!$A$3</f>
        <v>FL30 loose</v>
      </c>
      <c r="AQ59" s="263" t="str">
        <f>informatieblad!$A$4</f>
        <v>FL40 loose</v>
      </c>
      <c r="AR59" s="282"/>
      <c r="AS59" s="64"/>
      <c r="AT59" s="267"/>
      <c r="AU59" s="64"/>
      <c r="AV59" s="267"/>
      <c r="AW59" s="64"/>
      <c r="AX59" s="265" t="s">
        <v>47</v>
      </c>
      <c r="AY59" s="83" t="s">
        <v>23</v>
      </c>
      <c r="AZ59" s="273" t="s">
        <v>23</v>
      </c>
    </row>
    <row r="60" spans="1:52" ht="15.75" thickBot="1">
      <c r="A60" s="495"/>
      <c r="B60" s="227" t="s">
        <v>23</v>
      </c>
      <c r="C60" s="237"/>
      <c r="D60" s="229">
        <f>C60*V60</f>
        <v>0</v>
      </c>
      <c r="E60" s="230" t="s">
        <v>24</v>
      </c>
      <c r="F60" s="498" t="s">
        <v>25</v>
      </c>
      <c r="G60" s="452"/>
      <c r="H60" s="452"/>
      <c r="I60" s="453"/>
      <c r="J60" s="176"/>
      <c r="T60" s="111"/>
      <c r="U60" s="112">
        <f>((((2*(B58+C58))*D58)+(B58*(E58-D58))+(C58*(E58-D58))+(2*(B58*AD60)))/1000000)</f>
        <v>0</v>
      </c>
      <c r="V60" s="112">
        <f>((IF(U60&lt;=informatieblad!$I$18,informatieblad!$I$18,IF(U60&gt;=informatieblad!$I$18,U60))))</f>
        <v>0.5</v>
      </c>
      <c r="W60" s="112">
        <f>((((2*(B58+C58))*D58)+(B58*(E58-D58))+(C58*(E58-D58))+(2*(B58*AD60)))/1000000)</f>
        <v>0</v>
      </c>
      <c r="X60" s="112">
        <f>((IF(W60&lt;=informatieblad!$H$18,informatieblad!$H$18,IF(W60&gt;=informatieblad!$H$18,W60))))</f>
        <v>0</v>
      </c>
      <c r="Y60" s="113">
        <f>((X60*AI60)+(X60*AB60))*C60</f>
        <v>0</v>
      </c>
      <c r="Z60" s="114">
        <f>((V60*AJ60)+(V60*AC60))*C60</f>
        <v>0</v>
      </c>
      <c r="AA60" s="115" t="str">
        <f>F60</f>
        <v>Options None</v>
      </c>
      <c r="AB60" s="115">
        <f>VLOOKUP(F60,informatieblad!$A$37:$D$41,2,FALSE)</f>
        <v>0</v>
      </c>
      <c r="AC60" s="115">
        <f>VLOOKUP(F60,informatieblad!$A$37:$D$41,4,FALSE)</f>
        <v>0</v>
      </c>
      <c r="AD60" s="159">
        <f>(SQRT((((TAN(F58*(PI()/180)))*C58)^2)+(C58^2)))</f>
        <v>0</v>
      </c>
      <c r="AE60" s="119">
        <f>ROUND(((TAN(F58*(PI()/180)))*C58),0)</f>
        <v>0</v>
      </c>
      <c r="AF60" s="119"/>
      <c r="AG60" s="119">
        <f>(MAX(B58:C58))</f>
        <v>0</v>
      </c>
      <c r="AH60" s="119">
        <f>LOOKUP(AG60,informatieblad!$C$27:$C$32,informatieblad!$A$27:$A$32)</f>
        <v>0.5</v>
      </c>
      <c r="AI60" s="118">
        <f>VLOOKUP(AH60,informatieblad!$A$27:$M$32,6,FALSE)</f>
        <v>0</v>
      </c>
      <c r="AJ60" s="118">
        <f>VLOOKUP(AH60,informatieblad!$A$27:$M$32,8,FALSE)</f>
        <v>45.1248</v>
      </c>
      <c r="AK60" s="120">
        <f>VLOOKUP(AH60,informatieblad!$A$27:$M$32,13,FALSE)</f>
        <v>4</v>
      </c>
      <c r="AL60" s="121">
        <f>ROUND((AK60*W60),1)</f>
        <v>0</v>
      </c>
      <c r="AO60" s="111">
        <f>(IF(B59=AO58,((2*B58)+(2*C58)),IF(B59=AO59,((2*B58)+(2*C58)),0)))*C60</f>
        <v>0</v>
      </c>
      <c r="AP60" s="111">
        <f>(IF(B59=AP58,((2*B58)+(2*C58)),IF(B59=AP59,((2*B58)+(2*C58)),0)))*C60</f>
        <v>0</v>
      </c>
      <c r="AQ60" s="261">
        <f>(IF(B59=AQ58,((2*B58)+(2*C58)),IF(B59=AQ59,((2*B58)+(2*C58)),0)))*C60</f>
        <v>0</v>
      </c>
      <c r="AR60" s="283">
        <f>(IF(B59=AR58,((2*B58)+(2*C58)),0))*C60</f>
        <v>0</v>
      </c>
      <c r="AS60" s="64"/>
      <c r="AT60" s="268">
        <f>E58*C60</f>
        <v>0</v>
      </c>
      <c r="AU60" s="64"/>
      <c r="AV60" s="268">
        <f>(AG60+100)*C60</f>
        <v>0</v>
      </c>
      <c r="AW60" s="64"/>
      <c r="AX60" s="111" t="str">
        <f>IF(B59=informatieblad!$A$6,informatieblad!$B$6,IF(B59=informatieblad!$A$7,informatieblad!$B$7,IF(B59=informatieblad!$A$8,informatieblad!$B$8,IF(B59=informatieblad!$A$2,informatieblad!$B$2,IF(B59=informatieblad!$A$3,informatieblad!$B$3,IF(B59=informatieblad!$A$4,informatieblad!$B$4,IF(B59=informatieblad!$A$5,informatieblad!$B$5,"")))))))</f>
        <v/>
      </c>
      <c r="AY60" s="276">
        <f>IF(AX60=AY58,(4*C60),0)</f>
        <v>0</v>
      </c>
      <c r="AZ60" s="274">
        <f>IF(AX60=AZ58,(4*C60),0)</f>
        <v>0</v>
      </c>
    </row>
    <row r="61" spans="1:52" ht="5.0999999999999996" customHeight="1" thickBot="1">
      <c r="A61" s="231"/>
      <c r="B61" s="232"/>
      <c r="C61" s="232"/>
      <c r="D61" s="232"/>
      <c r="E61" s="232"/>
      <c r="F61" s="232"/>
      <c r="G61" s="232"/>
      <c r="H61" s="232"/>
      <c r="I61" s="233"/>
      <c r="J61" s="64"/>
    </row>
    <row r="62" spans="1:52" ht="15.75" thickBot="1">
      <c r="A62" s="494"/>
      <c r="B62" s="234"/>
      <c r="C62" s="234"/>
      <c r="D62" s="333">
        <f>(B62&gt;0)*$I$8</f>
        <v>0</v>
      </c>
      <c r="E62" s="244">
        <f>D62+AE64</f>
        <v>0</v>
      </c>
      <c r="F62" s="243">
        <f>(B62&gt;0)*$I$9</f>
        <v>0</v>
      </c>
      <c r="G62" s="221"/>
      <c r="H62" s="221"/>
      <c r="I62" s="222"/>
      <c r="J62" s="345" t="s">
        <v>20</v>
      </c>
      <c r="T62" s="97" t="s">
        <v>14</v>
      </c>
      <c r="U62" s="98" t="s">
        <v>27</v>
      </c>
      <c r="V62" s="98" t="s">
        <v>28</v>
      </c>
      <c r="W62" s="98" t="s">
        <v>27</v>
      </c>
      <c r="X62" s="98" t="s">
        <v>28</v>
      </c>
      <c r="Y62" s="98" t="s">
        <v>29</v>
      </c>
      <c r="Z62" s="66" t="s">
        <v>30</v>
      </c>
      <c r="AA62" s="153" t="s">
        <v>31</v>
      </c>
      <c r="AB62" s="153"/>
      <c r="AC62" s="153"/>
      <c r="AD62" s="97" t="s">
        <v>164</v>
      </c>
      <c r="AE62" s="98" t="s">
        <v>165</v>
      </c>
      <c r="AF62" s="245"/>
      <c r="AG62" s="98" t="s">
        <v>33</v>
      </c>
      <c r="AH62" s="98" t="s">
        <v>34</v>
      </c>
      <c r="AI62" s="98" t="s">
        <v>32</v>
      </c>
      <c r="AJ62" s="98" t="s">
        <v>32</v>
      </c>
      <c r="AK62" s="98" t="s">
        <v>49</v>
      </c>
      <c r="AL62" s="101" t="s">
        <v>36</v>
      </c>
      <c r="AO62" s="97" t="str">
        <f>informatieblad!$A$6</f>
        <v>FL20</v>
      </c>
      <c r="AP62" s="97" t="str">
        <f>informatieblad!$A$7</f>
        <v>FL30</v>
      </c>
      <c r="AQ62" s="99" t="str">
        <f>informatieblad!$A$8</f>
        <v>FL40</v>
      </c>
      <c r="AR62" s="266" t="str">
        <f>informatieblad!$A$5</f>
        <v>none</v>
      </c>
      <c r="AS62" s="64"/>
      <c r="AT62" s="266" t="s">
        <v>17</v>
      </c>
      <c r="AU62" s="64"/>
      <c r="AV62" s="266" t="s">
        <v>37</v>
      </c>
      <c r="AW62" s="64"/>
      <c r="AX62" s="269" t="s">
        <v>38</v>
      </c>
      <c r="AY62" s="272">
        <f>informatieblad!$B$3</f>
        <v>0</v>
      </c>
      <c r="AZ62" s="264">
        <f>informatieblad!$B$4</f>
        <v>0</v>
      </c>
    </row>
    <row r="63" spans="1:52">
      <c r="A63" s="475"/>
      <c r="B63" s="502" t="str">
        <f>IF($C64&gt;0,IF(MAX(B62,C62)&lt;informatieblad!$Q$4,informatieblad!$P$3,IF(MAX(B62,C62)&gt;informatieblad!$R$4,informatieblad!$P$5,informatieblad!$P$4)),"")</f>
        <v/>
      </c>
      <c r="C63" s="503"/>
      <c r="D63" s="223"/>
      <c r="E63" s="223"/>
      <c r="F63" s="334" t="str">
        <f>A62&amp;"-"&amp;informatieblad!$B$18&amp;"-"&amp;B62&amp;"-"&amp;C62&amp;"-"&amp;D62&amp;"-"&amp;E62&amp;"-"&amp;F62&amp;"-"&amp;B63&amp;"-"&amp;F64</f>
        <v>-RctG---0-0-0--Options None</v>
      </c>
      <c r="G63" s="235"/>
      <c r="H63" s="235"/>
      <c r="I63" s="236"/>
      <c r="J63" s="83"/>
      <c r="T63" s="103">
        <f>A62</f>
        <v>0</v>
      </c>
      <c r="U63" s="104" t="s">
        <v>39</v>
      </c>
      <c r="V63" s="104" t="s">
        <v>39</v>
      </c>
      <c r="W63" s="104" t="s">
        <v>40</v>
      </c>
      <c r="X63" s="104" t="s">
        <v>40</v>
      </c>
      <c r="Y63" s="104" t="s">
        <v>40</v>
      </c>
      <c r="Z63" s="105"/>
      <c r="AA63" s="155" t="s">
        <v>27</v>
      </c>
      <c r="AB63" s="155" t="s">
        <v>40</v>
      </c>
      <c r="AC63" s="155" t="s">
        <v>41</v>
      </c>
      <c r="AD63" s="246" t="s">
        <v>166</v>
      </c>
      <c r="AE63" s="104" t="s">
        <v>167</v>
      </c>
      <c r="AF63" s="247"/>
      <c r="AG63" s="104" t="s">
        <v>44</v>
      </c>
      <c r="AH63" s="104"/>
      <c r="AI63" s="104" t="s">
        <v>40</v>
      </c>
      <c r="AJ63" s="104" t="s">
        <v>41</v>
      </c>
      <c r="AK63" s="108"/>
      <c r="AL63" s="109"/>
      <c r="AO63" s="262" t="str">
        <f>informatieblad!$A$2</f>
        <v>FL20 loose</v>
      </c>
      <c r="AP63" s="262" t="str">
        <f>informatieblad!$A$3</f>
        <v>FL30 loose</v>
      </c>
      <c r="AQ63" s="263" t="str">
        <f>informatieblad!$A$4</f>
        <v>FL40 loose</v>
      </c>
      <c r="AR63" s="282"/>
      <c r="AS63" s="64"/>
      <c r="AT63" s="267"/>
      <c r="AU63" s="64"/>
      <c r="AV63" s="267"/>
      <c r="AW63" s="64"/>
      <c r="AX63" s="265" t="s">
        <v>47</v>
      </c>
      <c r="AY63" s="83" t="s">
        <v>23</v>
      </c>
      <c r="AZ63" s="273" t="s">
        <v>23</v>
      </c>
    </row>
    <row r="64" spans="1:52" ht="15.75" thickBot="1">
      <c r="A64" s="495"/>
      <c r="B64" s="227" t="s">
        <v>23</v>
      </c>
      <c r="C64" s="237"/>
      <c r="D64" s="229">
        <f>C64*V64</f>
        <v>0</v>
      </c>
      <c r="E64" s="230" t="s">
        <v>24</v>
      </c>
      <c r="F64" s="498" t="s">
        <v>25</v>
      </c>
      <c r="G64" s="452"/>
      <c r="H64" s="452"/>
      <c r="I64" s="453"/>
      <c r="J64" s="176"/>
      <c r="T64" s="111"/>
      <c r="U64" s="112">
        <f>((((2*(B62+C62))*D62)+(B62*(E62-D62))+(C62*(E62-D62))+(2*(B62*AD64)))/1000000)</f>
        <v>0</v>
      </c>
      <c r="V64" s="112">
        <f>((IF(U64&lt;=informatieblad!$I$18,informatieblad!$I$18,IF(U64&gt;=informatieblad!$I$18,U64))))</f>
        <v>0.5</v>
      </c>
      <c r="W64" s="112">
        <f>((((2*(B62+C62))*D62)+(B62*(E62-D62))+(C62*(E62-D62))+(2*(B62*AD64)))/1000000)</f>
        <v>0</v>
      </c>
      <c r="X64" s="112">
        <f>((IF(W64&lt;=informatieblad!$H$18,informatieblad!$H$18,IF(W64&gt;=informatieblad!$H$18,W64))))</f>
        <v>0</v>
      </c>
      <c r="Y64" s="113">
        <f>((X64*AI64)+(X64*AB64))*C64</f>
        <v>0</v>
      </c>
      <c r="Z64" s="114">
        <f>((V64*AJ64)+(V64*AC64))*C64</f>
        <v>0</v>
      </c>
      <c r="AA64" s="115" t="str">
        <f>F64</f>
        <v>Options None</v>
      </c>
      <c r="AB64" s="115">
        <f>VLOOKUP(F64,informatieblad!$A$37:$D$41,2,FALSE)</f>
        <v>0</v>
      </c>
      <c r="AC64" s="115">
        <f>VLOOKUP(F64,informatieblad!$A$37:$D$41,4,FALSE)</f>
        <v>0</v>
      </c>
      <c r="AD64" s="159">
        <f>(SQRT((((TAN(F62*(PI()/180)))*C62)^2)+(C62^2)))</f>
        <v>0</v>
      </c>
      <c r="AE64" s="119">
        <f>ROUND(((TAN(F62*(PI()/180)))*C62),0)</f>
        <v>0</v>
      </c>
      <c r="AF64" s="119"/>
      <c r="AG64" s="119">
        <f>(MAX(B62:C62))</f>
        <v>0</v>
      </c>
      <c r="AH64" s="119">
        <f>LOOKUP(AG64,informatieblad!$C$27:$C$32,informatieblad!$A$27:$A$32)</f>
        <v>0.5</v>
      </c>
      <c r="AI64" s="118">
        <f>VLOOKUP(AH64,informatieblad!$A$27:$M$32,6,FALSE)</f>
        <v>0</v>
      </c>
      <c r="AJ64" s="118">
        <f>VLOOKUP(AH64,informatieblad!$A$27:$M$32,8,FALSE)</f>
        <v>45.1248</v>
      </c>
      <c r="AK64" s="120">
        <f>VLOOKUP(AH64,informatieblad!$A$27:$M$32,13,FALSE)</f>
        <v>4</v>
      </c>
      <c r="AL64" s="121">
        <f>ROUND((AK64*W64),1)</f>
        <v>0</v>
      </c>
      <c r="AO64" s="111">
        <f>(IF(B63=AO62,((2*B62)+(2*C62)),IF(B63=AO63,((2*B62)+(2*C62)),0)))*C64</f>
        <v>0</v>
      </c>
      <c r="AP64" s="111">
        <f>(IF(B63=AP62,((2*B62)+(2*C62)),IF(B63=AP63,((2*B62)+(2*C62)),0)))*C64</f>
        <v>0</v>
      </c>
      <c r="AQ64" s="261">
        <f>(IF(B63=AQ62,((2*B62)+(2*C62)),IF(B63=AQ63,((2*B62)+(2*C62)),0)))*C64</f>
        <v>0</v>
      </c>
      <c r="AR64" s="283">
        <f>(IF(B63=AR62,((2*B62)+(2*C62)),0))*C64</f>
        <v>0</v>
      </c>
      <c r="AS64" s="64"/>
      <c r="AT64" s="268">
        <f>E62*C64</f>
        <v>0</v>
      </c>
      <c r="AU64" s="64"/>
      <c r="AV64" s="268">
        <f>(AG64+100)*C64</f>
        <v>0</v>
      </c>
      <c r="AW64" s="64"/>
      <c r="AX64" s="111" t="str">
        <f>IF(B63=informatieblad!$A$6,informatieblad!$B$6,IF(B63=informatieblad!$A$7,informatieblad!$B$7,IF(B63=informatieblad!$A$8,informatieblad!$B$8,IF(B63=informatieblad!$A$2,informatieblad!$B$2,IF(B63=informatieblad!$A$3,informatieblad!$B$3,IF(B63=informatieblad!$A$4,informatieblad!$B$4,IF(B63=informatieblad!$A$5,informatieblad!$B$5,"")))))))</f>
        <v/>
      </c>
      <c r="AY64" s="276">
        <f>IF(AX64=AY62,(4*C64),0)</f>
        <v>0</v>
      </c>
      <c r="AZ64" s="274">
        <f>IF(AX64=AZ62,(4*C64),0)</f>
        <v>0</v>
      </c>
    </row>
    <row r="65" spans="1:52" ht="5.0999999999999996" customHeight="1" thickBot="1">
      <c r="A65" s="231"/>
      <c r="B65" s="232"/>
      <c r="C65" s="232"/>
      <c r="D65" s="232"/>
      <c r="E65" s="232"/>
      <c r="F65" s="232"/>
      <c r="G65" s="232"/>
      <c r="H65" s="232"/>
      <c r="I65" s="233"/>
      <c r="J65" s="64"/>
    </row>
    <row r="66" spans="1:52" ht="15.75" thickBot="1">
      <c r="A66" s="494"/>
      <c r="B66" s="234"/>
      <c r="C66" s="234"/>
      <c r="D66" s="333">
        <f>(B66&gt;0)*$I$8</f>
        <v>0</v>
      </c>
      <c r="E66" s="244">
        <f>D66+AE68</f>
        <v>0</v>
      </c>
      <c r="F66" s="243">
        <f>(B66&gt;0)*$I$9</f>
        <v>0</v>
      </c>
      <c r="G66" s="221"/>
      <c r="H66" s="221"/>
      <c r="I66" s="222"/>
      <c r="J66" s="345" t="s">
        <v>20</v>
      </c>
      <c r="T66" s="97" t="s">
        <v>14</v>
      </c>
      <c r="U66" s="98" t="s">
        <v>27</v>
      </c>
      <c r="V66" s="98" t="s">
        <v>28</v>
      </c>
      <c r="W66" s="98" t="s">
        <v>27</v>
      </c>
      <c r="X66" s="98" t="s">
        <v>28</v>
      </c>
      <c r="Y66" s="98" t="s">
        <v>29</v>
      </c>
      <c r="Z66" s="66" t="s">
        <v>30</v>
      </c>
      <c r="AA66" s="153" t="s">
        <v>31</v>
      </c>
      <c r="AB66" s="153"/>
      <c r="AC66" s="153"/>
      <c r="AD66" s="97" t="s">
        <v>164</v>
      </c>
      <c r="AE66" s="98" t="s">
        <v>165</v>
      </c>
      <c r="AF66" s="245"/>
      <c r="AG66" s="98" t="s">
        <v>33</v>
      </c>
      <c r="AH66" s="98" t="s">
        <v>34</v>
      </c>
      <c r="AI66" s="98" t="s">
        <v>32</v>
      </c>
      <c r="AJ66" s="98" t="s">
        <v>32</v>
      </c>
      <c r="AK66" s="98" t="s">
        <v>49</v>
      </c>
      <c r="AL66" s="101" t="s">
        <v>36</v>
      </c>
      <c r="AO66" s="97" t="str">
        <f>informatieblad!$A$6</f>
        <v>FL20</v>
      </c>
      <c r="AP66" s="97" t="str">
        <f>informatieblad!$A$7</f>
        <v>FL30</v>
      </c>
      <c r="AQ66" s="99" t="str">
        <f>informatieblad!$A$8</f>
        <v>FL40</v>
      </c>
      <c r="AR66" s="266" t="str">
        <f>informatieblad!$A$5</f>
        <v>none</v>
      </c>
      <c r="AS66" s="64"/>
      <c r="AT66" s="266" t="s">
        <v>17</v>
      </c>
      <c r="AU66" s="64"/>
      <c r="AV66" s="266" t="s">
        <v>37</v>
      </c>
      <c r="AW66" s="64"/>
      <c r="AX66" s="269" t="s">
        <v>38</v>
      </c>
      <c r="AY66" s="272">
        <f>informatieblad!$B$3</f>
        <v>0</v>
      </c>
      <c r="AZ66" s="264">
        <f>informatieblad!$B$4</f>
        <v>0</v>
      </c>
    </row>
    <row r="67" spans="1:52">
      <c r="A67" s="475"/>
      <c r="B67" s="502" t="str">
        <f>IF($C68&gt;0,IF(MAX(B66,C66)&lt;informatieblad!$Q$4,informatieblad!$P$3,IF(MAX(B66,C66)&gt;informatieblad!$R$4,informatieblad!$P$5,informatieblad!$P$4)),"")</f>
        <v/>
      </c>
      <c r="C67" s="503"/>
      <c r="D67" s="223"/>
      <c r="E67" s="223"/>
      <c r="F67" s="334" t="str">
        <f>A66&amp;"-"&amp;informatieblad!$B$18&amp;"-"&amp;B66&amp;"-"&amp;C66&amp;"-"&amp;D66&amp;"-"&amp;E66&amp;"-"&amp;F66&amp;"-"&amp;B67&amp;"-"&amp;F68</f>
        <v>-RctG---0-0-0--Options None</v>
      </c>
      <c r="G67" s="235"/>
      <c r="H67" s="235"/>
      <c r="I67" s="236"/>
      <c r="J67" s="83"/>
      <c r="T67" s="103">
        <f>A66</f>
        <v>0</v>
      </c>
      <c r="U67" s="104" t="s">
        <v>39</v>
      </c>
      <c r="V67" s="104" t="s">
        <v>39</v>
      </c>
      <c r="W67" s="104" t="s">
        <v>40</v>
      </c>
      <c r="X67" s="104" t="s">
        <v>40</v>
      </c>
      <c r="Y67" s="104" t="s">
        <v>40</v>
      </c>
      <c r="Z67" s="105"/>
      <c r="AA67" s="155" t="s">
        <v>27</v>
      </c>
      <c r="AB67" s="155" t="s">
        <v>40</v>
      </c>
      <c r="AC67" s="155" t="s">
        <v>41</v>
      </c>
      <c r="AD67" s="246" t="s">
        <v>166</v>
      </c>
      <c r="AE67" s="104" t="s">
        <v>167</v>
      </c>
      <c r="AF67" s="247"/>
      <c r="AG67" s="104" t="s">
        <v>44</v>
      </c>
      <c r="AH67" s="104"/>
      <c r="AI67" s="104" t="s">
        <v>40</v>
      </c>
      <c r="AJ67" s="104" t="s">
        <v>41</v>
      </c>
      <c r="AK67" s="108"/>
      <c r="AL67" s="109"/>
      <c r="AO67" s="262" t="str">
        <f>informatieblad!$A$2</f>
        <v>FL20 loose</v>
      </c>
      <c r="AP67" s="262" t="str">
        <f>informatieblad!$A$3</f>
        <v>FL30 loose</v>
      </c>
      <c r="AQ67" s="263" t="str">
        <f>informatieblad!$A$4</f>
        <v>FL40 loose</v>
      </c>
      <c r="AR67" s="282"/>
      <c r="AS67" s="64"/>
      <c r="AT67" s="267"/>
      <c r="AU67" s="64"/>
      <c r="AV67" s="267"/>
      <c r="AW67" s="64"/>
      <c r="AX67" s="265" t="s">
        <v>47</v>
      </c>
      <c r="AY67" s="83" t="s">
        <v>23</v>
      </c>
      <c r="AZ67" s="273" t="s">
        <v>23</v>
      </c>
    </row>
    <row r="68" spans="1:52" ht="15.75" thickBot="1">
      <c r="A68" s="495"/>
      <c r="B68" s="227" t="s">
        <v>23</v>
      </c>
      <c r="C68" s="237"/>
      <c r="D68" s="229">
        <f>C68*V68</f>
        <v>0</v>
      </c>
      <c r="E68" s="230" t="s">
        <v>168</v>
      </c>
      <c r="F68" s="498" t="s">
        <v>25</v>
      </c>
      <c r="G68" s="452"/>
      <c r="H68" s="452"/>
      <c r="I68" s="453"/>
      <c r="J68" s="176"/>
      <c r="T68" s="111"/>
      <c r="U68" s="112">
        <f>((((2*(B66+C66))*D66)+(B66*(E66-D66))+(C66*(E66-D66))+(2*(B66*AD68)))/1000000)</f>
        <v>0</v>
      </c>
      <c r="V68" s="112">
        <f>((IF(U68&lt;=informatieblad!$I$18,informatieblad!$I$18,IF(U68&gt;=informatieblad!$I$18,U68))))</f>
        <v>0.5</v>
      </c>
      <c r="W68" s="112">
        <f>((((2*(B66+C66))*D66)+(B66*(E66-D66))+(C66*(E66-D66))+(2*(B66*AD68)))/1000000)</f>
        <v>0</v>
      </c>
      <c r="X68" s="112">
        <f>((IF(W68&lt;=informatieblad!$H$18,informatieblad!$H$18,IF(W68&gt;=informatieblad!$H$18,W68))))</f>
        <v>0</v>
      </c>
      <c r="Y68" s="113">
        <f>((X68*AI68)+(X68*AB68))*C68</f>
        <v>0</v>
      </c>
      <c r="Z68" s="114">
        <f>((V68*AJ68)+(V68*AC68))*C68</f>
        <v>0</v>
      </c>
      <c r="AA68" s="115" t="str">
        <f>F68</f>
        <v>Options None</v>
      </c>
      <c r="AB68" s="115">
        <f>VLOOKUP(F68,informatieblad!$A$37:$D$41,2,FALSE)</f>
        <v>0</v>
      </c>
      <c r="AC68" s="115">
        <f>VLOOKUP(F68,informatieblad!$A$37:$D$41,4,FALSE)</f>
        <v>0</v>
      </c>
      <c r="AD68" s="159">
        <f>(SQRT((((TAN(F66*(PI()/180)))*C66)^2)+(C66^2)))</f>
        <v>0</v>
      </c>
      <c r="AE68" s="119">
        <f>ROUND(((TAN(F66*(PI()/180)))*C66),0)</f>
        <v>0</v>
      </c>
      <c r="AF68" s="119"/>
      <c r="AG68" s="119">
        <f>(MAX(B66:C66))</f>
        <v>0</v>
      </c>
      <c r="AH68" s="119">
        <f>LOOKUP(AG68,informatieblad!$C$27:$C$32,informatieblad!$A$27:$A$32)</f>
        <v>0.5</v>
      </c>
      <c r="AI68" s="118">
        <f>VLOOKUP(AH68,informatieblad!$A$27:$M$32,6,FALSE)</f>
        <v>0</v>
      </c>
      <c r="AJ68" s="118">
        <f>VLOOKUP(AH68,informatieblad!$A$27:$M$32,8,FALSE)</f>
        <v>45.1248</v>
      </c>
      <c r="AK68" s="120">
        <f>VLOOKUP(AH68,informatieblad!$A$27:$M$32,13,FALSE)</f>
        <v>4</v>
      </c>
      <c r="AL68" s="121">
        <f>ROUND((AK68*W68),1)</f>
        <v>0</v>
      </c>
      <c r="AO68" s="111">
        <f>(IF(B67=AO66,((2*B66)+(2*C66)),IF(B67=AO67,((2*B66)+(2*C66)),0)))*C68</f>
        <v>0</v>
      </c>
      <c r="AP68" s="111">
        <f>(IF(B67=AP66,((2*B66)+(2*C66)),IF(B67=AP67,((2*B66)+(2*C66)),0)))*C68</f>
        <v>0</v>
      </c>
      <c r="AQ68" s="261">
        <f>(IF(B67=AQ66,((2*B66)+(2*C66)),IF(B67=AQ67,((2*B66)+(2*C66)),0)))*C68</f>
        <v>0</v>
      </c>
      <c r="AR68" s="283">
        <f>(IF(B67=AR66,((2*B66)+(2*C66)),0))*C68</f>
        <v>0</v>
      </c>
      <c r="AS68" s="64"/>
      <c r="AT68" s="268">
        <f>E66*C68</f>
        <v>0</v>
      </c>
      <c r="AU68" s="64"/>
      <c r="AV68" s="268">
        <f>(AG68+100)*C68</f>
        <v>0</v>
      </c>
      <c r="AW68" s="64"/>
      <c r="AX68" s="111" t="str">
        <f>IF(B67=informatieblad!$A$6,informatieblad!$B$6,IF(B67=informatieblad!$A$7,informatieblad!$B$7,IF(B67=informatieblad!$A$8,informatieblad!$B$8,IF(B67=informatieblad!$A$2,informatieblad!$B$2,IF(B67=informatieblad!$A$3,informatieblad!$B$3,IF(B67=informatieblad!$A$4,informatieblad!$B$4,IF(B67=informatieblad!$A$5,informatieblad!$B$5,"")))))))</f>
        <v/>
      </c>
      <c r="AY68" s="276">
        <f>IF(AX68=AY66,(4*C68),0)</f>
        <v>0</v>
      </c>
      <c r="AZ68" s="274">
        <f>IF(AX68=AZ66,(4*C68),0)</f>
        <v>0</v>
      </c>
    </row>
    <row r="69" spans="1:52" ht="5.0999999999999996" customHeight="1" thickBot="1">
      <c r="A69" s="231"/>
      <c r="B69" s="232"/>
      <c r="C69" s="232"/>
      <c r="D69" s="232"/>
      <c r="E69" s="232"/>
      <c r="F69" s="232"/>
      <c r="G69" s="232"/>
      <c r="H69" s="232"/>
      <c r="I69" s="233"/>
      <c r="J69" s="64"/>
    </row>
    <row r="70" spans="1:52" ht="15.75" thickBot="1">
      <c r="A70" s="494"/>
      <c r="B70" s="234"/>
      <c r="C70" s="234"/>
      <c r="D70" s="333">
        <f>(B70&gt;0)*$I$8</f>
        <v>0</v>
      </c>
      <c r="E70" s="244">
        <f>D70+AE72</f>
        <v>0</v>
      </c>
      <c r="F70" s="243">
        <f>(B70&gt;0)*$I$9</f>
        <v>0</v>
      </c>
      <c r="G70" s="221"/>
      <c r="H70" s="221"/>
      <c r="I70" s="222"/>
      <c r="J70" s="345" t="s">
        <v>20</v>
      </c>
      <c r="T70" s="97" t="s">
        <v>14</v>
      </c>
      <c r="U70" s="98" t="s">
        <v>27</v>
      </c>
      <c r="V70" s="98" t="s">
        <v>28</v>
      </c>
      <c r="W70" s="98" t="s">
        <v>27</v>
      </c>
      <c r="X70" s="98" t="s">
        <v>28</v>
      </c>
      <c r="Y70" s="98" t="s">
        <v>29</v>
      </c>
      <c r="Z70" s="66" t="s">
        <v>30</v>
      </c>
      <c r="AA70" s="153" t="s">
        <v>31</v>
      </c>
      <c r="AB70" s="153"/>
      <c r="AC70" s="153"/>
      <c r="AD70" s="97" t="s">
        <v>164</v>
      </c>
      <c r="AE70" s="98" t="s">
        <v>165</v>
      </c>
      <c r="AF70" s="245"/>
      <c r="AG70" s="98" t="s">
        <v>33</v>
      </c>
      <c r="AH70" s="98" t="s">
        <v>34</v>
      </c>
      <c r="AI70" s="98" t="s">
        <v>32</v>
      </c>
      <c r="AJ70" s="98" t="s">
        <v>32</v>
      </c>
      <c r="AK70" s="98" t="s">
        <v>49</v>
      </c>
      <c r="AL70" s="101" t="s">
        <v>36</v>
      </c>
      <c r="AO70" s="97" t="str">
        <f>informatieblad!$A$6</f>
        <v>FL20</v>
      </c>
      <c r="AP70" s="97" t="str">
        <f>informatieblad!$A$7</f>
        <v>FL30</v>
      </c>
      <c r="AQ70" s="99" t="str">
        <f>informatieblad!$A$8</f>
        <v>FL40</v>
      </c>
      <c r="AR70" s="266" t="str">
        <f>informatieblad!$A$5</f>
        <v>none</v>
      </c>
      <c r="AS70" s="64"/>
      <c r="AT70" s="266" t="s">
        <v>17</v>
      </c>
      <c r="AU70" s="64"/>
      <c r="AV70" s="266" t="s">
        <v>37</v>
      </c>
      <c r="AW70" s="64"/>
      <c r="AX70" s="269" t="s">
        <v>38</v>
      </c>
      <c r="AY70" s="272">
        <f>informatieblad!$B$3</f>
        <v>0</v>
      </c>
      <c r="AZ70" s="264">
        <f>informatieblad!$B$4</f>
        <v>0</v>
      </c>
    </row>
    <row r="71" spans="1:52">
      <c r="A71" s="475"/>
      <c r="B71" s="502" t="str">
        <f>IF($C72&gt;0,IF(MAX(B70,C70)&lt;informatieblad!$Q$4,informatieblad!$P$3,IF(MAX(B70,C70)&gt;informatieblad!$R$4,informatieblad!$P$5,informatieblad!$P$4)),"")</f>
        <v/>
      </c>
      <c r="C71" s="503"/>
      <c r="D71" s="223"/>
      <c r="E71" s="223"/>
      <c r="F71" s="334" t="str">
        <f>A70&amp;"-"&amp;informatieblad!$B$18&amp;"-"&amp;B70&amp;"-"&amp;C70&amp;"-"&amp;D70&amp;"-"&amp;E70&amp;"-"&amp;F70&amp;"-"&amp;B71&amp;"-"&amp;F72</f>
        <v>-RctG---0-0-0--Options None</v>
      </c>
      <c r="G71" s="235"/>
      <c r="H71" s="235"/>
      <c r="I71" s="236"/>
      <c r="J71" s="83"/>
      <c r="T71" s="103">
        <f>A70</f>
        <v>0</v>
      </c>
      <c r="U71" s="104" t="s">
        <v>39</v>
      </c>
      <c r="V71" s="104" t="s">
        <v>39</v>
      </c>
      <c r="W71" s="104" t="s">
        <v>40</v>
      </c>
      <c r="X71" s="104" t="s">
        <v>40</v>
      </c>
      <c r="Y71" s="104" t="s">
        <v>40</v>
      </c>
      <c r="Z71" s="105"/>
      <c r="AA71" s="155" t="s">
        <v>27</v>
      </c>
      <c r="AB71" s="155" t="s">
        <v>40</v>
      </c>
      <c r="AC71" s="155" t="s">
        <v>41</v>
      </c>
      <c r="AD71" s="246" t="s">
        <v>166</v>
      </c>
      <c r="AE71" s="104" t="s">
        <v>167</v>
      </c>
      <c r="AF71" s="247"/>
      <c r="AG71" s="104" t="s">
        <v>44</v>
      </c>
      <c r="AH71" s="104"/>
      <c r="AI71" s="104" t="s">
        <v>40</v>
      </c>
      <c r="AJ71" s="104" t="s">
        <v>41</v>
      </c>
      <c r="AK71" s="108"/>
      <c r="AL71" s="109"/>
      <c r="AO71" s="262" t="str">
        <f>informatieblad!$A$2</f>
        <v>FL20 loose</v>
      </c>
      <c r="AP71" s="262" t="str">
        <f>informatieblad!$A$3</f>
        <v>FL30 loose</v>
      </c>
      <c r="AQ71" s="263" t="str">
        <f>informatieblad!$A$4</f>
        <v>FL40 loose</v>
      </c>
      <c r="AR71" s="282"/>
      <c r="AS71" s="64"/>
      <c r="AT71" s="267"/>
      <c r="AU71" s="64"/>
      <c r="AV71" s="267"/>
      <c r="AW71" s="64"/>
      <c r="AX71" s="265" t="s">
        <v>47</v>
      </c>
      <c r="AY71" s="83" t="s">
        <v>23</v>
      </c>
      <c r="AZ71" s="273" t="s">
        <v>23</v>
      </c>
    </row>
    <row r="72" spans="1:52" ht="15.75" thickBot="1">
      <c r="A72" s="495"/>
      <c r="B72" s="227" t="s">
        <v>23</v>
      </c>
      <c r="C72" s="237"/>
      <c r="D72" s="229">
        <f>C72*V72</f>
        <v>0</v>
      </c>
      <c r="E72" s="230" t="s">
        <v>24</v>
      </c>
      <c r="F72" s="498" t="s">
        <v>25</v>
      </c>
      <c r="G72" s="452"/>
      <c r="H72" s="452"/>
      <c r="I72" s="453"/>
      <c r="J72" s="176"/>
      <c r="T72" s="111"/>
      <c r="U72" s="112">
        <f>((((2*(B70+C70))*D70)+(B70*(E70-D70))+(C70*(E70-D70))+(2*(B70*AD72)))/1000000)</f>
        <v>0</v>
      </c>
      <c r="V72" s="112">
        <f>((IF(U72&lt;=informatieblad!$I$18,informatieblad!$I$18,IF(U72&gt;=informatieblad!$I$18,U72))))</f>
        <v>0.5</v>
      </c>
      <c r="W72" s="112">
        <f>((((2*(B70+C70))*D70)+(B70*(E70-D70))+(C70*(E70-D70))+(2*(B70*AD72)))/1000000)</f>
        <v>0</v>
      </c>
      <c r="X72" s="112">
        <f>((IF(W72&lt;=informatieblad!$H$18,informatieblad!$H$18,IF(W72&gt;=informatieblad!$H$18,W72))))</f>
        <v>0</v>
      </c>
      <c r="Y72" s="113">
        <f>((X72*AI72)+(X72*AB72))*C72</f>
        <v>0</v>
      </c>
      <c r="Z72" s="114">
        <f>((V72*AJ72)+(V72*AC72))*C72</f>
        <v>0</v>
      </c>
      <c r="AA72" s="115" t="str">
        <f>F72</f>
        <v>Options None</v>
      </c>
      <c r="AB72" s="115">
        <f>VLOOKUP(F72,informatieblad!$A$37:$D$41,2,FALSE)</f>
        <v>0</v>
      </c>
      <c r="AC72" s="115">
        <f>VLOOKUP(F72,informatieblad!$A$37:$D$41,4,FALSE)</f>
        <v>0</v>
      </c>
      <c r="AD72" s="159">
        <f>(SQRT((((TAN(F70*(PI()/180)))*C70)^2)+(C70^2)))</f>
        <v>0</v>
      </c>
      <c r="AE72" s="119">
        <f>ROUND(((TAN(F70*(PI()/180)))*C70),0)</f>
        <v>0</v>
      </c>
      <c r="AF72" s="119"/>
      <c r="AG72" s="119">
        <f>(MAX(B70:C70))</f>
        <v>0</v>
      </c>
      <c r="AH72" s="119">
        <f>LOOKUP(AG72,informatieblad!$C$27:$C$32,informatieblad!$A$27:$A$32)</f>
        <v>0.5</v>
      </c>
      <c r="AI72" s="118">
        <f>VLOOKUP(AH72,informatieblad!$A$27:$M$32,6,FALSE)</f>
        <v>0</v>
      </c>
      <c r="AJ72" s="118">
        <f>VLOOKUP(AH72,informatieblad!$A$27:$M$32,8,FALSE)</f>
        <v>45.1248</v>
      </c>
      <c r="AK72" s="120">
        <f>VLOOKUP(AH72,informatieblad!$A$27:$M$32,13,FALSE)</f>
        <v>4</v>
      </c>
      <c r="AL72" s="121">
        <f>ROUND((AK72*W72),1)</f>
        <v>0</v>
      </c>
      <c r="AO72" s="111">
        <f>(IF(B71=AO70,((2*B70)+(2*C70)),IF(B71=AO71,((2*B70)+(2*C70)),0)))*C72</f>
        <v>0</v>
      </c>
      <c r="AP72" s="111">
        <f>(IF(B71=AP70,((2*B70)+(2*C70)),IF(B71=AP71,((2*B70)+(2*C70)),0)))*C72</f>
        <v>0</v>
      </c>
      <c r="AQ72" s="261">
        <f>(IF(B71=AQ70,((2*B70)+(2*C70)),IF(B71=AQ71,((2*B70)+(2*C70)),0)))*C72</f>
        <v>0</v>
      </c>
      <c r="AR72" s="283">
        <f>(IF(B71=AR70,((2*B70)+(2*C70)),0))*C72</f>
        <v>0</v>
      </c>
      <c r="AS72" s="64"/>
      <c r="AT72" s="268">
        <f>E70*C72</f>
        <v>0</v>
      </c>
      <c r="AU72" s="64"/>
      <c r="AV72" s="268">
        <f>(AG72+100)*C72</f>
        <v>0</v>
      </c>
      <c r="AW72" s="64"/>
      <c r="AX72" s="111" t="str">
        <f>IF(B71=informatieblad!$A$6,informatieblad!$B$6,IF(B71=informatieblad!$A$7,informatieblad!$B$7,IF(B71=informatieblad!$A$8,informatieblad!$B$8,IF(B71=informatieblad!$A$2,informatieblad!$B$2,IF(B71=informatieblad!$A$3,informatieblad!$B$3,IF(B71=informatieblad!$A$4,informatieblad!$B$4,IF(B71=informatieblad!$A$5,informatieblad!$B$5,"")))))))</f>
        <v/>
      </c>
      <c r="AY72" s="276">
        <f>IF(AX72=AY70,(4*C72),0)</f>
        <v>0</v>
      </c>
      <c r="AZ72" s="274">
        <f>IF(AX72=AZ70,(4*C72),0)</f>
        <v>0</v>
      </c>
    </row>
    <row r="73" spans="1:52" ht="5.0999999999999996" customHeight="1" thickBot="1">
      <c r="A73" s="231"/>
      <c r="B73" s="232"/>
      <c r="C73" s="232"/>
      <c r="D73" s="232"/>
      <c r="E73" s="232"/>
      <c r="F73" s="232"/>
      <c r="G73" s="232"/>
      <c r="H73" s="232"/>
      <c r="I73" s="233"/>
      <c r="J73" s="64"/>
    </row>
    <row r="74" spans="1:52" ht="15.75" thickBot="1">
      <c r="A74" s="494"/>
      <c r="B74" s="234"/>
      <c r="C74" s="234"/>
      <c r="D74" s="333">
        <f>(B74&gt;0)*$I$8</f>
        <v>0</v>
      </c>
      <c r="E74" s="244">
        <f>D74+AE76</f>
        <v>0</v>
      </c>
      <c r="F74" s="243">
        <f>(B74&gt;0)*$I$9</f>
        <v>0</v>
      </c>
      <c r="G74" s="221"/>
      <c r="H74" s="221"/>
      <c r="I74" s="222"/>
      <c r="J74" s="345" t="s">
        <v>20</v>
      </c>
      <c r="T74" s="97" t="s">
        <v>14</v>
      </c>
      <c r="U74" s="98" t="s">
        <v>27</v>
      </c>
      <c r="V74" s="98" t="s">
        <v>28</v>
      </c>
      <c r="W74" s="98" t="s">
        <v>27</v>
      </c>
      <c r="X74" s="98" t="s">
        <v>28</v>
      </c>
      <c r="Y74" s="98" t="s">
        <v>29</v>
      </c>
      <c r="Z74" s="66" t="s">
        <v>30</v>
      </c>
      <c r="AA74" s="153" t="s">
        <v>31</v>
      </c>
      <c r="AB74" s="153"/>
      <c r="AC74" s="153"/>
      <c r="AD74" s="97" t="s">
        <v>164</v>
      </c>
      <c r="AE74" s="98" t="s">
        <v>165</v>
      </c>
      <c r="AF74" s="245"/>
      <c r="AG74" s="98" t="s">
        <v>33</v>
      </c>
      <c r="AH74" s="98" t="s">
        <v>34</v>
      </c>
      <c r="AI74" s="98" t="s">
        <v>32</v>
      </c>
      <c r="AJ74" s="98" t="s">
        <v>32</v>
      </c>
      <c r="AK74" s="98" t="s">
        <v>49</v>
      </c>
      <c r="AL74" s="101" t="s">
        <v>36</v>
      </c>
      <c r="AO74" s="97" t="str">
        <f>informatieblad!$A$6</f>
        <v>FL20</v>
      </c>
      <c r="AP74" s="97" t="str">
        <f>informatieblad!$A$7</f>
        <v>FL30</v>
      </c>
      <c r="AQ74" s="99" t="str">
        <f>informatieblad!$A$8</f>
        <v>FL40</v>
      </c>
      <c r="AR74" s="266" t="str">
        <f>informatieblad!$A$5</f>
        <v>none</v>
      </c>
      <c r="AS74" s="64"/>
      <c r="AT74" s="266" t="s">
        <v>17</v>
      </c>
      <c r="AU74" s="64"/>
      <c r="AV74" s="266" t="s">
        <v>37</v>
      </c>
      <c r="AW74" s="64"/>
      <c r="AX74" s="269" t="s">
        <v>38</v>
      </c>
      <c r="AY74" s="272">
        <f>informatieblad!$B$3</f>
        <v>0</v>
      </c>
      <c r="AZ74" s="264">
        <f>informatieblad!$B$4</f>
        <v>0</v>
      </c>
    </row>
    <row r="75" spans="1:52">
      <c r="A75" s="475"/>
      <c r="B75" s="502" t="str">
        <f>IF($C76&gt;0,IF(MAX(B74,C74)&lt;informatieblad!$Q$4,informatieblad!$P$3,IF(MAX(B74,C74)&gt;informatieblad!$R$4,informatieblad!$P$5,informatieblad!$P$4)),"")</f>
        <v/>
      </c>
      <c r="C75" s="503"/>
      <c r="D75" s="223"/>
      <c r="E75" s="223"/>
      <c r="F75" s="334" t="str">
        <f>A74&amp;"-"&amp;informatieblad!$B$18&amp;"-"&amp;B74&amp;"-"&amp;C74&amp;"-"&amp;D74&amp;"-"&amp;E74&amp;"-"&amp;F74&amp;"-"&amp;B75&amp;"-"&amp;F76</f>
        <v>-RctG---0-0-0--Options None</v>
      </c>
      <c r="G75" s="235"/>
      <c r="H75" s="235"/>
      <c r="I75" s="236"/>
      <c r="J75" s="83"/>
      <c r="T75" s="103">
        <f>A74</f>
        <v>0</v>
      </c>
      <c r="U75" s="104" t="s">
        <v>39</v>
      </c>
      <c r="V75" s="104" t="s">
        <v>39</v>
      </c>
      <c r="W75" s="104" t="s">
        <v>40</v>
      </c>
      <c r="X75" s="104" t="s">
        <v>40</v>
      </c>
      <c r="Y75" s="104" t="s">
        <v>40</v>
      </c>
      <c r="Z75" s="105"/>
      <c r="AA75" s="155" t="s">
        <v>27</v>
      </c>
      <c r="AB75" s="155" t="s">
        <v>40</v>
      </c>
      <c r="AC75" s="155" t="s">
        <v>41</v>
      </c>
      <c r="AD75" s="246" t="s">
        <v>166</v>
      </c>
      <c r="AE75" s="104" t="s">
        <v>167</v>
      </c>
      <c r="AF75" s="247"/>
      <c r="AG75" s="104" t="s">
        <v>44</v>
      </c>
      <c r="AH75" s="104"/>
      <c r="AI75" s="104" t="s">
        <v>40</v>
      </c>
      <c r="AJ75" s="104" t="s">
        <v>41</v>
      </c>
      <c r="AK75" s="108"/>
      <c r="AL75" s="109"/>
      <c r="AO75" s="262" t="str">
        <f>informatieblad!$A$2</f>
        <v>FL20 loose</v>
      </c>
      <c r="AP75" s="262" t="str">
        <f>informatieblad!$A$3</f>
        <v>FL30 loose</v>
      </c>
      <c r="AQ75" s="263" t="str">
        <f>informatieblad!$A$4</f>
        <v>FL40 loose</v>
      </c>
      <c r="AR75" s="282"/>
      <c r="AS75" s="64"/>
      <c r="AT75" s="267"/>
      <c r="AU75" s="64"/>
      <c r="AV75" s="267"/>
      <c r="AW75" s="64"/>
      <c r="AX75" s="265" t="s">
        <v>47</v>
      </c>
      <c r="AY75" s="83" t="s">
        <v>23</v>
      </c>
      <c r="AZ75" s="273" t="s">
        <v>23</v>
      </c>
    </row>
    <row r="76" spans="1:52" ht="15.75" thickBot="1">
      <c r="A76" s="495"/>
      <c r="B76" s="227" t="s">
        <v>23</v>
      </c>
      <c r="C76" s="237"/>
      <c r="D76" s="229">
        <f>C76*V76</f>
        <v>0</v>
      </c>
      <c r="E76" s="230" t="s">
        <v>24</v>
      </c>
      <c r="F76" s="498" t="s">
        <v>25</v>
      </c>
      <c r="G76" s="452"/>
      <c r="H76" s="452"/>
      <c r="I76" s="453"/>
      <c r="J76" s="176"/>
      <c r="T76" s="111"/>
      <c r="U76" s="112">
        <f>((((2*(B74+C74))*D74)+(B74*(E74-D74))+(C74*(E74-D74))+(2*(B74*AD76)))/1000000)</f>
        <v>0</v>
      </c>
      <c r="V76" s="112">
        <f>((IF(U76&lt;=informatieblad!$I$18,informatieblad!$I$18,IF(U76&gt;=informatieblad!$I$18,U76))))</f>
        <v>0.5</v>
      </c>
      <c r="W76" s="112">
        <f>((((2*(B74+C74))*D74)+(B74*(E74-D74))+(C74*(E74-D74))+(2*(B74*AD76)))/1000000)</f>
        <v>0</v>
      </c>
      <c r="X76" s="112">
        <f>((IF(W76&lt;=informatieblad!$H$18,informatieblad!$H$18,IF(W76&gt;=informatieblad!$H$18,W76))))</f>
        <v>0</v>
      </c>
      <c r="Y76" s="113">
        <f>((X76*AI76)+(X76*AB76))*C76</f>
        <v>0</v>
      </c>
      <c r="Z76" s="114">
        <f>((V76*AJ76)+(V76*AC76))*C76</f>
        <v>0</v>
      </c>
      <c r="AA76" s="115" t="str">
        <f>F76</f>
        <v>Options None</v>
      </c>
      <c r="AB76" s="115">
        <f>VLOOKUP(F76,informatieblad!$A$37:$D$41,2,FALSE)</f>
        <v>0</v>
      </c>
      <c r="AC76" s="115">
        <f>VLOOKUP(F76,informatieblad!$A$37:$D$41,4,FALSE)</f>
        <v>0</v>
      </c>
      <c r="AD76" s="159">
        <f>(SQRT((((TAN(F74*(PI()/180)))*C74)^2)+(C74^2)))</f>
        <v>0</v>
      </c>
      <c r="AE76" s="119">
        <f>ROUND(((TAN(F74*(PI()/180)))*C74),0)</f>
        <v>0</v>
      </c>
      <c r="AF76" s="119"/>
      <c r="AG76" s="119">
        <f>(MAX(B74:C74))</f>
        <v>0</v>
      </c>
      <c r="AH76" s="119">
        <f>LOOKUP(AG76,informatieblad!$C$27:$C$32,informatieblad!$A$27:$A$32)</f>
        <v>0.5</v>
      </c>
      <c r="AI76" s="118">
        <f>VLOOKUP(AH76,informatieblad!$A$27:$M$32,6,FALSE)</f>
        <v>0</v>
      </c>
      <c r="AJ76" s="118">
        <f>VLOOKUP(AH76,informatieblad!$A$27:$M$32,8,FALSE)</f>
        <v>45.1248</v>
      </c>
      <c r="AK76" s="120">
        <f>VLOOKUP(AH76,informatieblad!$A$27:$M$32,13,FALSE)</f>
        <v>4</v>
      </c>
      <c r="AL76" s="121">
        <f>ROUND((AK76*W76),1)</f>
        <v>0</v>
      </c>
      <c r="AO76" s="111">
        <f>(IF(B75=AO74,((2*B74)+(2*C74)),IF(B75=AO75,((2*B74)+(2*C74)),0)))*C76</f>
        <v>0</v>
      </c>
      <c r="AP76" s="111">
        <f>(IF(B75=AP74,((2*B74)+(2*C74)),IF(B75=AP75,((2*B74)+(2*C74)),0)))*C76</f>
        <v>0</v>
      </c>
      <c r="AQ76" s="261">
        <f>(IF(B75=AQ74,((2*B74)+(2*C74)),IF(B75=AQ75,((2*B74)+(2*C74)),0)))*C76</f>
        <v>0</v>
      </c>
      <c r="AR76" s="283">
        <f>(IF(B75=AR74,((2*B74)+(2*C74)),0))*C76</f>
        <v>0</v>
      </c>
      <c r="AS76" s="64"/>
      <c r="AT76" s="268">
        <f>E74*C76</f>
        <v>0</v>
      </c>
      <c r="AU76" s="64"/>
      <c r="AV76" s="268">
        <f>(AG76+100)*C76</f>
        <v>0</v>
      </c>
      <c r="AW76" s="64"/>
      <c r="AX76" s="111" t="str">
        <f>IF(B75=informatieblad!$A$6,informatieblad!$B$6,IF(B75=informatieblad!$A$7,informatieblad!$B$7,IF(B75=informatieblad!$A$8,informatieblad!$B$8,IF(B75=informatieblad!$A$2,informatieblad!$B$2,IF(B75=informatieblad!$A$3,informatieblad!$B$3,IF(B75=informatieblad!$A$4,informatieblad!$B$4,IF(B75=informatieblad!$A$5,informatieblad!$B$5,"")))))))</f>
        <v/>
      </c>
      <c r="AY76" s="276">
        <f>IF(AX76=AY74,(4*C76),0)</f>
        <v>0</v>
      </c>
      <c r="AZ76" s="274">
        <f>IF(AX76=AZ74,(4*C76),0)</f>
        <v>0</v>
      </c>
    </row>
    <row r="77" spans="1:52" ht="5.0999999999999996" customHeight="1" thickBot="1">
      <c r="A77" s="231"/>
      <c r="B77" s="232"/>
      <c r="C77" s="232"/>
      <c r="D77" s="232"/>
      <c r="E77" s="232"/>
      <c r="F77" s="232"/>
      <c r="G77" s="232"/>
      <c r="H77" s="232"/>
      <c r="I77" s="233"/>
      <c r="J77" s="64"/>
    </row>
    <row r="78" spans="1:52" ht="15.75" thickBot="1">
      <c r="A78" s="494"/>
      <c r="B78" s="234"/>
      <c r="C78" s="234"/>
      <c r="D78" s="333">
        <f>(B78&gt;0)*$I$8</f>
        <v>0</v>
      </c>
      <c r="E78" s="244">
        <f>D78+AE80</f>
        <v>0</v>
      </c>
      <c r="F78" s="243">
        <f>(B78&gt;0)*$I$9</f>
        <v>0</v>
      </c>
      <c r="G78" s="221"/>
      <c r="H78" s="221"/>
      <c r="I78" s="222"/>
      <c r="J78" s="345" t="s">
        <v>20</v>
      </c>
      <c r="T78" s="97" t="s">
        <v>14</v>
      </c>
      <c r="U78" s="98" t="s">
        <v>27</v>
      </c>
      <c r="V78" s="98" t="s">
        <v>28</v>
      </c>
      <c r="W78" s="98" t="s">
        <v>27</v>
      </c>
      <c r="X78" s="98" t="s">
        <v>28</v>
      </c>
      <c r="Y78" s="98" t="s">
        <v>29</v>
      </c>
      <c r="Z78" s="66" t="s">
        <v>30</v>
      </c>
      <c r="AA78" s="153" t="s">
        <v>31</v>
      </c>
      <c r="AB78" s="153"/>
      <c r="AC78" s="153"/>
      <c r="AD78" s="97" t="s">
        <v>164</v>
      </c>
      <c r="AE78" s="98" t="s">
        <v>165</v>
      </c>
      <c r="AF78" s="245"/>
      <c r="AG78" s="98" t="s">
        <v>33</v>
      </c>
      <c r="AH78" s="98" t="s">
        <v>34</v>
      </c>
      <c r="AI78" s="98" t="s">
        <v>32</v>
      </c>
      <c r="AJ78" s="98" t="s">
        <v>32</v>
      </c>
      <c r="AK78" s="98" t="s">
        <v>49</v>
      </c>
      <c r="AL78" s="101" t="s">
        <v>36</v>
      </c>
      <c r="AO78" s="97" t="str">
        <f>informatieblad!$A$6</f>
        <v>FL20</v>
      </c>
      <c r="AP78" s="97" t="str">
        <f>informatieblad!$A$7</f>
        <v>FL30</v>
      </c>
      <c r="AQ78" s="99" t="str">
        <f>informatieblad!$A$8</f>
        <v>FL40</v>
      </c>
      <c r="AR78" s="266" t="str">
        <f>informatieblad!$A$5</f>
        <v>none</v>
      </c>
      <c r="AS78" s="64"/>
      <c r="AT78" s="266" t="s">
        <v>17</v>
      </c>
      <c r="AU78" s="64"/>
      <c r="AV78" s="266" t="s">
        <v>37</v>
      </c>
      <c r="AW78" s="64"/>
      <c r="AX78" s="269" t="s">
        <v>38</v>
      </c>
      <c r="AY78" s="272">
        <f>informatieblad!$B$3</f>
        <v>0</v>
      </c>
      <c r="AZ78" s="264">
        <f>informatieblad!$B$4</f>
        <v>0</v>
      </c>
    </row>
    <row r="79" spans="1:52">
      <c r="A79" s="475"/>
      <c r="B79" s="502" t="str">
        <f>IF($C80&gt;0,IF(MAX(B78,C78)&lt;informatieblad!$Q$4,informatieblad!$P$3,IF(MAX(B78,C78)&gt;informatieblad!$R$4,informatieblad!$P$5,informatieblad!$P$4)),"")</f>
        <v/>
      </c>
      <c r="C79" s="503"/>
      <c r="D79" s="223"/>
      <c r="E79" s="223"/>
      <c r="F79" s="334" t="str">
        <f>A78&amp;"-"&amp;informatieblad!$B$18&amp;"-"&amp;B78&amp;"-"&amp;C78&amp;"-"&amp;D78&amp;"-"&amp;E78&amp;"-"&amp;F78&amp;"-"&amp;B79&amp;"-"&amp;F80</f>
        <v>-RctG---0-0-0--Options None</v>
      </c>
      <c r="G79" s="235"/>
      <c r="H79" s="235"/>
      <c r="I79" s="236"/>
      <c r="J79" s="83"/>
      <c r="T79" s="103">
        <f>A78</f>
        <v>0</v>
      </c>
      <c r="U79" s="104" t="s">
        <v>39</v>
      </c>
      <c r="V79" s="104" t="s">
        <v>39</v>
      </c>
      <c r="W79" s="104" t="s">
        <v>40</v>
      </c>
      <c r="X79" s="104" t="s">
        <v>40</v>
      </c>
      <c r="Y79" s="104" t="s">
        <v>40</v>
      </c>
      <c r="Z79" s="105"/>
      <c r="AA79" s="155" t="s">
        <v>27</v>
      </c>
      <c r="AB79" s="155" t="s">
        <v>40</v>
      </c>
      <c r="AC79" s="155" t="s">
        <v>41</v>
      </c>
      <c r="AD79" s="246" t="s">
        <v>166</v>
      </c>
      <c r="AE79" s="104" t="s">
        <v>167</v>
      </c>
      <c r="AF79" s="247"/>
      <c r="AG79" s="104" t="s">
        <v>44</v>
      </c>
      <c r="AH79" s="104"/>
      <c r="AI79" s="104" t="s">
        <v>40</v>
      </c>
      <c r="AJ79" s="104" t="s">
        <v>41</v>
      </c>
      <c r="AK79" s="108"/>
      <c r="AL79" s="109"/>
      <c r="AO79" s="262" t="str">
        <f>informatieblad!$A$2</f>
        <v>FL20 loose</v>
      </c>
      <c r="AP79" s="262" t="str">
        <f>informatieblad!$A$3</f>
        <v>FL30 loose</v>
      </c>
      <c r="AQ79" s="263" t="str">
        <f>informatieblad!$A$4</f>
        <v>FL40 loose</v>
      </c>
      <c r="AR79" s="282"/>
      <c r="AS79" s="64"/>
      <c r="AT79" s="267"/>
      <c r="AU79" s="64"/>
      <c r="AV79" s="267"/>
      <c r="AW79" s="64"/>
      <c r="AX79" s="265" t="s">
        <v>47</v>
      </c>
      <c r="AY79" s="83" t="s">
        <v>23</v>
      </c>
      <c r="AZ79" s="273" t="s">
        <v>23</v>
      </c>
    </row>
    <row r="80" spans="1:52" ht="15.75" thickBot="1">
      <c r="A80" s="495"/>
      <c r="B80" s="227" t="s">
        <v>23</v>
      </c>
      <c r="C80" s="237"/>
      <c r="D80" s="229">
        <f>C80*V80</f>
        <v>0</v>
      </c>
      <c r="E80" s="230" t="s">
        <v>24</v>
      </c>
      <c r="F80" s="498" t="s">
        <v>25</v>
      </c>
      <c r="G80" s="452"/>
      <c r="H80" s="452"/>
      <c r="I80" s="453"/>
      <c r="J80" s="176"/>
      <c r="T80" s="111"/>
      <c r="U80" s="112">
        <f>((((2*(B78+C78))*D78)+(B78*(E78-D78))+(C78*(E78-D78))+(2*(B78*AD80)))/1000000)</f>
        <v>0</v>
      </c>
      <c r="V80" s="112">
        <f>((IF(U80&lt;=informatieblad!$I$18,informatieblad!$I$18,IF(U80&gt;=informatieblad!$I$18,U80))))</f>
        <v>0.5</v>
      </c>
      <c r="W80" s="112">
        <f>((((2*(B78+C78))*D78)+(B78*(E78-D78))+(C78*(E78-D78))+(2*(B78*AD80)))/1000000)</f>
        <v>0</v>
      </c>
      <c r="X80" s="112">
        <f>((IF(W80&lt;=informatieblad!$H$18,informatieblad!$H$18,IF(W80&gt;=informatieblad!$H$18,W80))))</f>
        <v>0</v>
      </c>
      <c r="Y80" s="113">
        <f>((X80*AI80)+(X80*AB80))*C80</f>
        <v>0</v>
      </c>
      <c r="Z80" s="114">
        <f>((V80*AJ80)+(V80*AC80))*C80</f>
        <v>0</v>
      </c>
      <c r="AA80" s="115" t="str">
        <f>F80</f>
        <v>Options None</v>
      </c>
      <c r="AB80" s="115">
        <f>VLOOKUP(F80,informatieblad!$A$37:$D$41,2,FALSE)</f>
        <v>0</v>
      </c>
      <c r="AC80" s="115">
        <f>VLOOKUP(F80,informatieblad!$A$37:$D$41,4,FALSE)</f>
        <v>0</v>
      </c>
      <c r="AD80" s="159">
        <f>(SQRT((((TAN(F78*(PI()/180)))*C78)^2)+(C78^2)))</f>
        <v>0</v>
      </c>
      <c r="AE80" s="119">
        <f>ROUND(((TAN(F78*(PI()/180)))*C78),0)</f>
        <v>0</v>
      </c>
      <c r="AF80" s="119"/>
      <c r="AG80" s="119">
        <f>(MAX(B78:C78))</f>
        <v>0</v>
      </c>
      <c r="AH80" s="119">
        <f>LOOKUP(AG80,informatieblad!$C$27:$C$32,informatieblad!$A$27:$A$32)</f>
        <v>0.5</v>
      </c>
      <c r="AI80" s="118">
        <f>VLOOKUP(AH80,informatieblad!$A$27:$M$32,6,FALSE)</f>
        <v>0</v>
      </c>
      <c r="AJ80" s="118">
        <f>VLOOKUP(AH80,informatieblad!$A$27:$M$32,8,FALSE)</f>
        <v>45.1248</v>
      </c>
      <c r="AK80" s="120">
        <f>VLOOKUP(AH80,informatieblad!$A$27:$M$32,13,FALSE)</f>
        <v>4</v>
      </c>
      <c r="AL80" s="121">
        <f>ROUND((AK80*W80),1)</f>
        <v>0</v>
      </c>
      <c r="AO80" s="111">
        <f>(IF(B79=AO78,((2*B78)+(2*C78)),IF(B79=AO79,((2*B78)+(2*C78)),0)))*C80</f>
        <v>0</v>
      </c>
      <c r="AP80" s="111">
        <f>(IF(B79=AP78,((2*B78)+(2*C78)),IF(B79=AP79,((2*B78)+(2*C78)),0)))*C80</f>
        <v>0</v>
      </c>
      <c r="AQ80" s="261">
        <f>(IF(B79=AQ78,((2*B78)+(2*C78)),IF(B79=AQ79,((2*B78)+(2*C78)),0)))*C80</f>
        <v>0</v>
      </c>
      <c r="AR80" s="283">
        <f>(IF(B79=AR78,((2*B78)+(2*C78)),0))*C80</f>
        <v>0</v>
      </c>
      <c r="AS80" s="64"/>
      <c r="AT80" s="268">
        <f>E78*C80</f>
        <v>0</v>
      </c>
      <c r="AU80" s="64"/>
      <c r="AV80" s="268">
        <f>(AG80+100)*C80</f>
        <v>0</v>
      </c>
      <c r="AW80" s="64"/>
      <c r="AX80" s="111" t="str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/>
      </c>
      <c r="AY80" s="276">
        <f>IF(AX80=AY78,(4*C80),0)</f>
        <v>0</v>
      </c>
      <c r="AZ80" s="274">
        <f>IF(AX80=AZ78,(4*C80),0)</f>
        <v>0</v>
      </c>
    </row>
    <row r="81" spans="1:52" ht="5.0999999999999996" customHeight="1" thickBot="1">
      <c r="A81" s="231"/>
      <c r="B81" s="232"/>
      <c r="C81" s="232"/>
      <c r="D81" s="232"/>
      <c r="E81" s="232"/>
      <c r="F81" s="232"/>
      <c r="G81" s="232"/>
      <c r="H81" s="232"/>
      <c r="I81" s="233"/>
      <c r="J81" s="64"/>
    </row>
    <row r="82" spans="1:52" ht="15.75" thickBot="1">
      <c r="A82" s="494"/>
      <c r="B82" s="234"/>
      <c r="C82" s="234"/>
      <c r="D82" s="333">
        <f>(B82&gt;0)*$I$8</f>
        <v>0</v>
      </c>
      <c r="E82" s="244">
        <f>D82+AE84</f>
        <v>0</v>
      </c>
      <c r="F82" s="243">
        <f>(B82&gt;0)*$I$9</f>
        <v>0</v>
      </c>
      <c r="G82" s="221"/>
      <c r="H82" s="221"/>
      <c r="I82" s="222"/>
      <c r="J82" s="345" t="s">
        <v>20</v>
      </c>
      <c r="T82" s="97" t="s">
        <v>14</v>
      </c>
      <c r="U82" s="98" t="s">
        <v>27</v>
      </c>
      <c r="V82" s="98" t="s">
        <v>28</v>
      </c>
      <c r="W82" s="98" t="s">
        <v>27</v>
      </c>
      <c r="X82" s="98" t="s">
        <v>28</v>
      </c>
      <c r="Y82" s="98" t="s">
        <v>29</v>
      </c>
      <c r="Z82" s="66" t="s">
        <v>30</v>
      </c>
      <c r="AA82" s="153" t="s">
        <v>31</v>
      </c>
      <c r="AB82" s="153"/>
      <c r="AC82" s="153"/>
      <c r="AD82" s="97" t="s">
        <v>164</v>
      </c>
      <c r="AE82" s="98" t="s">
        <v>165</v>
      </c>
      <c r="AF82" s="245"/>
      <c r="AG82" s="98" t="s">
        <v>33</v>
      </c>
      <c r="AH82" s="98" t="s">
        <v>34</v>
      </c>
      <c r="AI82" s="98" t="s">
        <v>32</v>
      </c>
      <c r="AJ82" s="98" t="s">
        <v>32</v>
      </c>
      <c r="AK82" s="98" t="s">
        <v>49</v>
      </c>
      <c r="AL82" s="101" t="s">
        <v>36</v>
      </c>
      <c r="AO82" s="97" t="str">
        <f>informatieblad!$A$6</f>
        <v>FL20</v>
      </c>
      <c r="AP82" s="97" t="str">
        <f>informatieblad!$A$7</f>
        <v>FL30</v>
      </c>
      <c r="AQ82" s="99" t="str">
        <f>informatieblad!$A$8</f>
        <v>FL40</v>
      </c>
      <c r="AR82" s="266" t="str">
        <f>informatieblad!$A$5</f>
        <v>none</v>
      </c>
      <c r="AS82" s="64"/>
      <c r="AT82" s="266" t="s">
        <v>17</v>
      </c>
      <c r="AU82" s="64"/>
      <c r="AV82" s="266" t="s">
        <v>37</v>
      </c>
      <c r="AW82" s="64"/>
      <c r="AX82" s="269" t="s">
        <v>38</v>
      </c>
      <c r="AY82" s="272">
        <f>informatieblad!$B$3</f>
        <v>0</v>
      </c>
      <c r="AZ82" s="264">
        <f>informatieblad!$B$4</f>
        <v>0</v>
      </c>
    </row>
    <row r="83" spans="1:52">
      <c r="A83" s="475"/>
      <c r="B83" s="502" t="str">
        <f>IF($C84&gt;0,IF(MAX(B82,C82)&lt;informatieblad!$Q$4,informatieblad!$P$3,IF(MAX(B82,C82)&gt;informatieblad!$R$4,informatieblad!$P$5,informatieblad!$P$4)),"")</f>
        <v/>
      </c>
      <c r="C83" s="503"/>
      <c r="D83" s="223"/>
      <c r="E83" s="223"/>
      <c r="F83" s="334" t="str">
        <f>A82&amp;"-"&amp;informatieblad!$B$18&amp;"-"&amp;B82&amp;"-"&amp;C82&amp;"-"&amp;D82&amp;"-"&amp;E82&amp;"-"&amp;F82&amp;"-"&amp;B83&amp;"-"&amp;F84</f>
        <v>-RctG---0-0-0--Options None</v>
      </c>
      <c r="G83" s="235"/>
      <c r="H83" s="235"/>
      <c r="I83" s="236"/>
      <c r="J83" s="83"/>
      <c r="T83" s="103">
        <f>A82</f>
        <v>0</v>
      </c>
      <c r="U83" s="104" t="s">
        <v>39</v>
      </c>
      <c r="V83" s="104" t="s">
        <v>39</v>
      </c>
      <c r="W83" s="104" t="s">
        <v>40</v>
      </c>
      <c r="X83" s="104" t="s">
        <v>40</v>
      </c>
      <c r="Y83" s="104" t="s">
        <v>40</v>
      </c>
      <c r="Z83" s="105"/>
      <c r="AA83" s="155" t="s">
        <v>27</v>
      </c>
      <c r="AB83" s="155" t="s">
        <v>40</v>
      </c>
      <c r="AC83" s="155" t="s">
        <v>41</v>
      </c>
      <c r="AD83" s="246" t="s">
        <v>166</v>
      </c>
      <c r="AE83" s="104" t="s">
        <v>167</v>
      </c>
      <c r="AF83" s="247"/>
      <c r="AG83" s="104" t="s">
        <v>44</v>
      </c>
      <c r="AH83" s="104"/>
      <c r="AI83" s="104" t="s">
        <v>40</v>
      </c>
      <c r="AJ83" s="104" t="s">
        <v>41</v>
      </c>
      <c r="AK83" s="108"/>
      <c r="AL83" s="109"/>
      <c r="AO83" s="262" t="str">
        <f>informatieblad!$A$2</f>
        <v>FL20 loose</v>
      </c>
      <c r="AP83" s="262" t="str">
        <f>informatieblad!$A$3</f>
        <v>FL30 loose</v>
      </c>
      <c r="AQ83" s="263" t="str">
        <f>informatieblad!$A$4</f>
        <v>FL40 loose</v>
      </c>
      <c r="AR83" s="282"/>
      <c r="AS83" s="64"/>
      <c r="AT83" s="267"/>
      <c r="AU83" s="64"/>
      <c r="AV83" s="267"/>
      <c r="AW83" s="64"/>
      <c r="AX83" s="265" t="s">
        <v>47</v>
      </c>
      <c r="AY83" s="83" t="s">
        <v>23</v>
      </c>
      <c r="AZ83" s="273" t="s">
        <v>23</v>
      </c>
    </row>
    <row r="84" spans="1:52" ht="15.75" thickBot="1">
      <c r="A84" s="495"/>
      <c r="B84" s="227" t="s">
        <v>23</v>
      </c>
      <c r="C84" s="237"/>
      <c r="D84" s="229">
        <f>C84*V84</f>
        <v>0</v>
      </c>
      <c r="E84" s="230" t="s">
        <v>24</v>
      </c>
      <c r="F84" s="498" t="s">
        <v>25</v>
      </c>
      <c r="G84" s="452"/>
      <c r="H84" s="452"/>
      <c r="I84" s="453"/>
      <c r="J84" s="176"/>
      <c r="T84" s="111"/>
      <c r="U84" s="112">
        <f>((((2*(B82+C82))*D82)+(B82*(E82-D82))+(C82*(E82-D82))+(2*(B82*AD84)))/1000000)</f>
        <v>0</v>
      </c>
      <c r="V84" s="112">
        <f>((IF(U84&lt;=informatieblad!$I$18,informatieblad!$I$18,IF(U84&gt;=informatieblad!$I$18,U84))))</f>
        <v>0.5</v>
      </c>
      <c r="W84" s="112">
        <f>((((2*(B82+C82))*D82)+(B82*(E82-D82))+(C82*(E82-D82))+(2*(B82*AD84)))/1000000)</f>
        <v>0</v>
      </c>
      <c r="X84" s="112">
        <f>((IF(W84&lt;=informatieblad!$H$18,informatieblad!$H$18,IF(W84&gt;=informatieblad!$H$18,W84))))</f>
        <v>0</v>
      </c>
      <c r="Y84" s="113">
        <f>((X84*AI84)+(X84*AB84))*C84</f>
        <v>0</v>
      </c>
      <c r="Z84" s="114">
        <f>((V84*AJ84)+(V84*AC84))*C84</f>
        <v>0</v>
      </c>
      <c r="AA84" s="115" t="str">
        <f>F84</f>
        <v>Options None</v>
      </c>
      <c r="AB84" s="115">
        <f>VLOOKUP(F84,informatieblad!$A$37:$D$41,2,FALSE)</f>
        <v>0</v>
      </c>
      <c r="AC84" s="115">
        <f>VLOOKUP(F84,informatieblad!$A$37:$D$41,4,FALSE)</f>
        <v>0</v>
      </c>
      <c r="AD84" s="159">
        <f>(SQRT((((TAN(F82*(PI()/180)))*C82)^2)+(C82^2)))</f>
        <v>0</v>
      </c>
      <c r="AE84" s="119">
        <f>ROUND(((TAN(F82*(PI()/180)))*C82),0)</f>
        <v>0</v>
      </c>
      <c r="AF84" s="119"/>
      <c r="AG84" s="119">
        <f>(MAX(B82:C82))</f>
        <v>0</v>
      </c>
      <c r="AH84" s="119">
        <f>LOOKUP(AG84,informatieblad!$C$27:$C$32,informatieblad!$A$27:$A$32)</f>
        <v>0.5</v>
      </c>
      <c r="AI84" s="118">
        <f>VLOOKUP(AH84,informatieblad!$A$27:$M$32,6,FALSE)</f>
        <v>0</v>
      </c>
      <c r="AJ84" s="118">
        <f>VLOOKUP(AH84,informatieblad!$A$27:$M$32,8,FALSE)</f>
        <v>45.1248</v>
      </c>
      <c r="AK84" s="120">
        <f>VLOOKUP(AH84,informatieblad!$A$27:$M$32,13,FALSE)</f>
        <v>4</v>
      </c>
      <c r="AL84" s="121">
        <f>ROUND((AK84*W84),1)</f>
        <v>0</v>
      </c>
      <c r="AO84" s="111">
        <f>(IF(B83=AO82,((2*B82)+(2*C82)),IF(B83=AO83,((2*B82)+(2*C82)),0)))*C84</f>
        <v>0</v>
      </c>
      <c r="AP84" s="111">
        <f>(IF(B83=AP82,((2*B82)+(2*C82)),IF(B83=AP83,((2*B82)+(2*C82)),0)))*C84</f>
        <v>0</v>
      </c>
      <c r="AQ84" s="261">
        <f>(IF(B83=AQ82,((2*B82)+(2*C82)),IF(B83=AQ83,((2*B82)+(2*C82)),0)))*C84</f>
        <v>0</v>
      </c>
      <c r="AR84" s="283">
        <f>(IF(B83=AR82,((2*B82)+(2*C82)),0))*C84</f>
        <v>0</v>
      </c>
      <c r="AS84" s="64"/>
      <c r="AT84" s="268">
        <f>E82*C84</f>
        <v>0</v>
      </c>
      <c r="AU84" s="64"/>
      <c r="AV84" s="268">
        <f>(AG84+100)*C84</f>
        <v>0</v>
      </c>
      <c r="AW84" s="64"/>
      <c r="AX84" s="111" t="str">
        <f>IF(B83=informatieblad!$A$6,informatieblad!$B$6,IF(B83=informatieblad!$A$7,informatieblad!$B$7,IF(B83=informatieblad!$A$8,informatieblad!$B$8,IF(B83=informatieblad!$A$2,informatieblad!$B$2,IF(B83=informatieblad!$A$3,informatieblad!$B$3,IF(B83=informatieblad!$A$4,informatieblad!$B$4,IF(B83=informatieblad!$A$5,informatieblad!$B$5,"")))))))</f>
        <v/>
      </c>
      <c r="AY84" s="276">
        <f>IF(AX84=AY82,(4*C84),0)</f>
        <v>0</v>
      </c>
      <c r="AZ84" s="274">
        <f>IF(AX84=AZ82,(4*C84),0)</f>
        <v>0</v>
      </c>
    </row>
    <row r="85" spans="1:52" ht="5.0999999999999996" customHeight="1" thickBot="1">
      <c r="A85" s="231"/>
      <c r="B85" s="232"/>
      <c r="C85" s="232"/>
      <c r="D85" s="232"/>
      <c r="E85" s="232"/>
      <c r="F85" s="232"/>
      <c r="G85" s="232"/>
      <c r="H85" s="232"/>
      <c r="I85" s="233"/>
      <c r="J85" s="64"/>
    </row>
    <row r="86" spans="1:52" ht="15" customHeight="1" thickBot="1">
      <c r="A86" s="494"/>
      <c r="B86" s="234"/>
      <c r="C86" s="234"/>
      <c r="D86" s="333">
        <f>(B86&gt;0)*$I$8</f>
        <v>0</v>
      </c>
      <c r="E86" s="244">
        <f>D86+AE88</f>
        <v>0</v>
      </c>
      <c r="F86" s="243">
        <f>(B86&gt;0)*$I$9</f>
        <v>0</v>
      </c>
      <c r="G86" s="221"/>
      <c r="H86" s="221"/>
      <c r="I86" s="222"/>
      <c r="J86" s="345" t="s">
        <v>20</v>
      </c>
      <c r="T86" s="97" t="s">
        <v>14</v>
      </c>
      <c r="U86" s="98" t="s">
        <v>27</v>
      </c>
      <c r="V86" s="98" t="s">
        <v>28</v>
      </c>
      <c r="W86" s="98" t="s">
        <v>27</v>
      </c>
      <c r="X86" s="98" t="s">
        <v>28</v>
      </c>
      <c r="Y86" s="98" t="s">
        <v>29</v>
      </c>
      <c r="Z86" s="66" t="s">
        <v>30</v>
      </c>
      <c r="AA86" s="153" t="s">
        <v>31</v>
      </c>
      <c r="AB86" s="153"/>
      <c r="AC86" s="153"/>
      <c r="AD86" s="97" t="s">
        <v>164</v>
      </c>
      <c r="AE86" s="98" t="s">
        <v>165</v>
      </c>
      <c r="AF86" s="245"/>
      <c r="AG86" s="98" t="s">
        <v>33</v>
      </c>
      <c r="AH86" s="98" t="s">
        <v>34</v>
      </c>
      <c r="AI86" s="98" t="s">
        <v>32</v>
      </c>
      <c r="AJ86" s="98" t="s">
        <v>32</v>
      </c>
      <c r="AK86" s="98" t="s">
        <v>49</v>
      </c>
      <c r="AL86" s="101" t="s">
        <v>36</v>
      </c>
      <c r="AO86" s="97" t="str">
        <f>informatieblad!$A$6</f>
        <v>FL20</v>
      </c>
      <c r="AP86" s="97" t="str">
        <f>informatieblad!$A$7</f>
        <v>FL30</v>
      </c>
      <c r="AQ86" s="99" t="str">
        <f>informatieblad!$A$8</f>
        <v>FL40</v>
      </c>
      <c r="AR86" s="266" t="str">
        <f>informatieblad!$A$5</f>
        <v>none</v>
      </c>
      <c r="AS86" s="64"/>
      <c r="AT86" s="266" t="s">
        <v>17</v>
      </c>
      <c r="AU86" s="64"/>
      <c r="AV86" s="266" t="s">
        <v>37</v>
      </c>
      <c r="AW86" s="64"/>
      <c r="AX86" s="269" t="s">
        <v>38</v>
      </c>
      <c r="AY86" s="272">
        <f>informatieblad!$B$3</f>
        <v>0</v>
      </c>
      <c r="AZ86" s="264">
        <f>informatieblad!$B$4</f>
        <v>0</v>
      </c>
    </row>
    <row r="87" spans="1:52" ht="15" customHeight="1">
      <c r="A87" s="475"/>
      <c r="B87" s="502" t="str">
        <f>IF($C88&gt;0,IF(MAX(B86,C86)&lt;informatieblad!$Q$4,informatieblad!$P$3,IF(MAX(B86,C86)&gt;informatieblad!$R$4,informatieblad!$P$5,informatieblad!$P$4)),"")</f>
        <v/>
      </c>
      <c r="C87" s="503"/>
      <c r="D87" s="223"/>
      <c r="E87" s="223"/>
      <c r="F87" s="334" t="str">
        <f>A86&amp;"-"&amp;informatieblad!$B$18&amp;"-"&amp;B86&amp;"-"&amp;C86&amp;"-"&amp;D86&amp;"-"&amp;E86&amp;"-"&amp;F86&amp;"-"&amp;B87&amp;"-"&amp;F88</f>
        <v>-RctG---0-0-0--Options None</v>
      </c>
      <c r="G87" s="235"/>
      <c r="H87" s="235"/>
      <c r="I87" s="236"/>
      <c r="J87" s="83"/>
      <c r="T87" s="103">
        <f>A86</f>
        <v>0</v>
      </c>
      <c r="U87" s="104" t="s">
        <v>39</v>
      </c>
      <c r="V87" s="104" t="s">
        <v>39</v>
      </c>
      <c r="W87" s="104" t="s">
        <v>40</v>
      </c>
      <c r="X87" s="104" t="s">
        <v>40</v>
      </c>
      <c r="Y87" s="104" t="s">
        <v>40</v>
      </c>
      <c r="Z87" s="105"/>
      <c r="AA87" s="155" t="s">
        <v>27</v>
      </c>
      <c r="AB87" s="155" t="s">
        <v>40</v>
      </c>
      <c r="AC87" s="155" t="s">
        <v>41</v>
      </c>
      <c r="AD87" s="246" t="s">
        <v>166</v>
      </c>
      <c r="AE87" s="104" t="s">
        <v>167</v>
      </c>
      <c r="AF87" s="247"/>
      <c r="AG87" s="104" t="s">
        <v>44</v>
      </c>
      <c r="AH87" s="104"/>
      <c r="AI87" s="104" t="s">
        <v>40</v>
      </c>
      <c r="AJ87" s="104" t="s">
        <v>41</v>
      </c>
      <c r="AK87" s="108"/>
      <c r="AL87" s="109"/>
      <c r="AO87" s="262" t="str">
        <f>informatieblad!$A$2</f>
        <v>FL20 loose</v>
      </c>
      <c r="AP87" s="262" t="str">
        <f>informatieblad!$A$3</f>
        <v>FL30 loose</v>
      </c>
      <c r="AQ87" s="263" t="str">
        <f>informatieblad!$A$4</f>
        <v>FL40 loose</v>
      </c>
      <c r="AR87" s="282"/>
      <c r="AS87" s="64"/>
      <c r="AT87" s="267"/>
      <c r="AU87" s="64"/>
      <c r="AV87" s="267"/>
      <c r="AW87" s="64"/>
      <c r="AX87" s="265" t="s">
        <v>47</v>
      </c>
      <c r="AY87" s="83" t="s">
        <v>23</v>
      </c>
      <c r="AZ87" s="273" t="s">
        <v>23</v>
      </c>
    </row>
    <row r="88" spans="1:52" ht="15.75" customHeight="1" thickBot="1">
      <c r="A88" s="495"/>
      <c r="B88" s="227" t="s">
        <v>23</v>
      </c>
      <c r="C88" s="237"/>
      <c r="D88" s="229">
        <f>C88*V88</f>
        <v>0</v>
      </c>
      <c r="E88" s="230" t="s">
        <v>24</v>
      </c>
      <c r="F88" s="498" t="s">
        <v>25</v>
      </c>
      <c r="G88" s="452"/>
      <c r="H88" s="452"/>
      <c r="I88" s="453"/>
      <c r="J88" s="176"/>
      <c r="T88" s="111"/>
      <c r="U88" s="112">
        <f>((((2*(B86+C86))*D86)+(B86*(E86-D86))+(C86*(E86-D86))+(2*(B86*AD88)))/1000000)</f>
        <v>0</v>
      </c>
      <c r="V88" s="112">
        <f>((IF(U88&lt;=informatieblad!$I$18,informatieblad!$I$18,IF(U88&gt;=informatieblad!$I$18,U88))))</f>
        <v>0.5</v>
      </c>
      <c r="W88" s="112">
        <f>((((2*(B86+C86))*D86)+(B86*(E86-D86))+(C86*(E86-D86))+(2*(B86*AD88)))/1000000)</f>
        <v>0</v>
      </c>
      <c r="X88" s="112">
        <f>((IF(W88&lt;=informatieblad!$H$18,informatieblad!$H$18,IF(W88&gt;=informatieblad!$H$18,W88))))</f>
        <v>0</v>
      </c>
      <c r="Y88" s="113">
        <f>((X88*AI88)+(X88*AB88))*C88</f>
        <v>0</v>
      </c>
      <c r="Z88" s="114">
        <f>((V88*AJ88)+(V88*AC88))*C88</f>
        <v>0</v>
      </c>
      <c r="AA88" s="115" t="str">
        <f>F88</f>
        <v>Options None</v>
      </c>
      <c r="AB88" s="115">
        <f>VLOOKUP(F88,informatieblad!$A$37:$D$41,2,FALSE)</f>
        <v>0</v>
      </c>
      <c r="AC88" s="115">
        <f>VLOOKUP(F88,informatieblad!$A$37:$D$41,4,FALSE)</f>
        <v>0</v>
      </c>
      <c r="AD88" s="159">
        <f>(SQRT((((TAN(F86*(PI()/180)))*C86)^2)+(C86^2)))</f>
        <v>0</v>
      </c>
      <c r="AE88" s="119">
        <f>ROUND(((TAN(F86*(PI()/180)))*C86),0)</f>
        <v>0</v>
      </c>
      <c r="AF88" s="119"/>
      <c r="AG88" s="119">
        <f>(MAX(B86:C86))</f>
        <v>0</v>
      </c>
      <c r="AH88" s="119">
        <f>LOOKUP(AG88,informatieblad!$C$27:$C$32,informatieblad!$A$27:$A$32)</f>
        <v>0.5</v>
      </c>
      <c r="AI88" s="118">
        <f>VLOOKUP(AH88,informatieblad!$A$27:$M$32,6,FALSE)</f>
        <v>0</v>
      </c>
      <c r="AJ88" s="118">
        <f>VLOOKUP(AH88,informatieblad!$A$27:$M$32,8,FALSE)</f>
        <v>45.1248</v>
      </c>
      <c r="AK88" s="120">
        <f>VLOOKUP(AH88,informatieblad!$A$27:$M$32,13,FALSE)</f>
        <v>4</v>
      </c>
      <c r="AL88" s="121">
        <f>ROUND((AK88*W88),1)</f>
        <v>0</v>
      </c>
      <c r="AO88" s="111">
        <f>(IF(B87=AO86,((2*B86)+(2*C86)),IF(B87=AO87,((2*B86)+(2*C86)),0)))*C88</f>
        <v>0</v>
      </c>
      <c r="AP88" s="111">
        <f>(IF(B87=AP86,((2*B86)+(2*C86)),IF(B87=AP87,((2*B86)+(2*C86)),0)))*C88</f>
        <v>0</v>
      </c>
      <c r="AQ88" s="261">
        <f>(IF(B87=AQ86,((2*B86)+(2*C86)),IF(B87=AQ87,((2*B86)+(2*C86)),0)))*C88</f>
        <v>0</v>
      </c>
      <c r="AR88" s="283">
        <f>(IF(B87=AR86,((2*B86)+(2*C86)),0))*C88</f>
        <v>0</v>
      </c>
      <c r="AS88" s="64"/>
      <c r="AT88" s="268">
        <f>E86*C88</f>
        <v>0</v>
      </c>
      <c r="AU88" s="64"/>
      <c r="AV88" s="268">
        <f>(AG88+100)*C88</f>
        <v>0</v>
      </c>
      <c r="AW88" s="64"/>
      <c r="AX88" s="111" t="str">
        <f>IF(B87=informatieblad!$A$6,informatieblad!$B$6,IF(B87=informatieblad!$A$7,informatieblad!$B$7,IF(B87=informatieblad!$A$8,informatieblad!$B$8,IF(B87=informatieblad!$A$2,informatieblad!$B$2,IF(B87=informatieblad!$A$3,informatieblad!$B$3,IF(B87=informatieblad!$A$4,informatieblad!$B$4,IF(B87=informatieblad!$A$5,informatieblad!$B$5,"")))))))</f>
        <v/>
      </c>
      <c r="AY88" s="276">
        <f>IF(AX88=AY86,(4*C88),0)</f>
        <v>0</v>
      </c>
      <c r="AZ88" s="274">
        <f>IF(AX88=AZ86,(4*C88),0)</f>
        <v>0</v>
      </c>
    </row>
    <row r="89" spans="1:52" ht="5.0999999999999996" customHeight="1" thickBot="1">
      <c r="A89" s="231"/>
      <c r="B89" s="232"/>
      <c r="C89" s="232"/>
      <c r="D89" s="232"/>
      <c r="E89" s="232"/>
      <c r="F89" s="232"/>
      <c r="G89" s="232"/>
      <c r="H89" s="232"/>
      <c r="I89" s="233"/>
      <c r="J89" s="64"/>
    </row>
    <row r="90" spans="1:52" ht="15" customHeight="1" thickBot="1">
      <c r="A90" s="494"/>
      <c r="B90" s="234"/>
      <c r="C90" s="234"/>
      <c r="D90" s="333">
        <f>(B90&gt;0)*$I$8</f>
        <v>0</v>
      </c>
      <c r="E90" s="244">
        <f>D90+AE92</f>
        <v>0</v>
      </c>
      <c r="F90" s="243">
        <f>(B90&gt;0)*$I$9</f>
        <v>0</v>
      </c>
      <c r="G90" s="221"/>
      <c r="H90" s="221"/>
      <c r="I90" s="222"/>
      <c r="J90" s="345" t="s">
        <v>20</v>
      </c>
      <c r="T90" s="97" t="s">
        <v>14</v>
      </c>
      <c r="U90" s="98" t="s">
        <v>27</v>
      </c>
      <c r="V90" s="98" t="s">
        <v>28</v>
      </c>
      <c r="W90" s="98" t="s">
        <v>27</v>
      </c>
      <c r="X90" s="98" t="s">
        <v>28</v>
      </c>
      <c r="Y90" s="98" t="s">
        <v>29</v>
      </c>
      <c r="Z90" s="66" t="s">
        <v>30</v>
      </c>
      <c r="AA90" s="153" t="s">
        <v>31</v>
      </c>
      <c r="AB90" s="153"/>
      <c r="AC90" s="153"/>
      <c r="AD90" s="97" t="s">
        <v>164</v>
      </c>
      <c r="AE90" s="98" t="s">
        <v>165</v>
      </c>
      <c r="AF90" s="245"/>
      <c r="AG90" s="98" t="s">
        <v>33</v>
      </c>
      <c r="AH90" s="98" t="s">
        <v>34</v>
      </c>
      <c r="AI90" s="98" t="s">
        <v>32</v>
      </c>
      <c r="AJ90" s="98" t="s">
        <v>32</v>
      </c>
      <c r="AK90" s="98" t="s">
        <v>50</v>
      </c>
      <c r="AL90" s="101" t="s">
        <v>36</v>
      </c>
      <c r="AO90" s="97" t="str">
        <f>informatieblad!$A$6</f>
        <v>FL20</v>
      </c>
      <c r="AP90" s="97" t="str">
        <f>informatieblad!$A$7</f>
        <v>FL30</v>
      </c>
      <c r="AQ90" s="99" t="str">
        <f>informatieblad!$A$8</f>
        <v>FL40</v>
      </c>
      <c r="AR90" s="266" t="str">
        <f>informatieblad!$A$5</f>
        <v>none</v>
      </c>
      <c r="AS90" s="64"/>
      <c r="AT90" s="266" t="s">
        <v>17</v>
      </c>
      <c r="AU90" s="64"/>
      <c r="AV90" s="266" t="s">
        <v>37</v>
      </c>
      <c r="AW90" s="64"/>
      <c r="AX90" s="269" t="s">
        <v>38</v>
      </c>
      <c r="AY90" s="272">
        <f>informatieblad!$B$3</f>
        <v>0</v>
      </c>
      <c r="AZ90" s="264">
        <f>informatieblad!$B$4</f>
        <v>0</v>
      </c>
    </row>
    <row r="91" spans="1:52" ht="15" customHeight="1">
      <c r="A91" s="475"/>
      <c r="B91" s="502" t="str">
        <f>IF($C92&gt;0,IF(MAX(B90,C90)&lt;informatieblad!$Q$4,informatieblad!$P$3,IF(MAX(B90,C90)&gt;informatieblad!$R$4,informatieblad!$P$5,informatieblad!$P$4)),"")</f>
        <v/>
      </c>
      <c r="C91" s="503"/>
      <c r="D91" s="223"/>
      <c r="E91" s="223"/>
      <c r="F91" s="334" t="str">
        <f>A90&amp;"-"&amp;informatieblad!$B$18&amp;"-"&amp;B90&amp;"-"&amp;C90&amp;"-"&amp;D90&amp;"-"&amp;E90&amp;"-"&amp;F90&amp;"-"&amp;B91&amp;"-"&amp;F92</f>
        <v>-RctG---0-0-0--Options None</v>
      </c>
      <c r="G91" s="235"/>
      <c r="H91" s="235"/>
      <c r="I91" s="236"/>
      <c r="J91" s="83"/>
      <c r="T91" s="103">
        <f>A90</f>
        <v>0</v>
      </c>
      <c r="U91" s="104" t="s">
        <v>39</v>
      </c>
      <c r="V91" s="104" t="s">
        <v>39</v>
      </c>
      <c r="W91" s="104" t="s">
        <v>40</v>
      </c>
      <c r="X91" s="104" t="s">
        <v>40</v>
      </c>
      <c r="Y91" s="104" t="s">
        <v>40</v>
      </c>
      <c r="Z91" s="105"/>
      <c r="AA91" s="155" t="s">
        <v>27</v>
      </c>
      <c r="AB91" s="155" t="s">
        <v>40</v>
      </c>
      <c r="AC91" s="155" t="s">
        <v>41</v>
      </c>
      <c r="AD91" s="246" t="s">
        <v>166</v>
      </c>
      <c r="AE91" s="104" t="s">
        <v>167</v>
      </c>
      <c r="AF91" s="247"/>
      <c r="AG91" s="104" t="s">
        <v>44</v>
      </c>
      <c r="AH91" s="104"/>
      <c r="AI91" s="104" t="s">
        <v>40</v>
      </c>
      <c r="AJ91" s="104" t="s">
        <v>41</v>
      </c>
      <c r="AK91" s="108"/>
      <c r="AL91" s="109"/>
      <c r="AO91" s="262" t="str">
        <f>informatieblad!$A$2</f>
        <v>FL20 loose</v>
      </c>
      <c r="AP91" s="262" t="str">
        <f>informatieblad!$A$3</f>
        <v>FL30 loose</v>
      </c>
      <c r="AQ91" s="263" t="str">
        <f>informatieblad!$A$4</f>
        <v>FL40 loose</v>
      </c>
      <c r="AR91" s="282"/>
      <c r="AS91" s="64"/>
      <c r="AT91" s="267"/>
      <c r="AU91" s="64"/>
      <c r="AV91" s="267"/>
      <c r="AW91" s="64"/>
      <c r="AX91" s="265" t="s">
        <v>47</v>
      </c>
      <c r="AY91" s="83" t="s">
        <v>23</v>
      </c>
      <c r="AZ91" s="273" t="s">
        <v>23</v>
      </c>
    </row>
    <row r="92" spans="1:52" ht="15.75" customHeight="1" thickBot="1">
      <c r="A92" s="495"/>
      <c r="B92" s="227" t="s">
        <v>23</v>
      </c>
      <c r="C92" s="237"/>
      <c r="D92" s="229">
        <f>C92*V92</f>
        <v>0</v>
      </c>
      <c r="E92" s="230" t="s">
        <v>169</v>
      </c>
      <c r="F92" s="498" t="s">
        <v>25</v>
      </c>
      <c r="G92" s="452"/>
      <c r="H92" s="452"/>
      <c r="I92" s="453"/>
      <c r="J92" s="176"/>
      <c r="T92" s="111"/>
      <c r="U92" s="112">
        <f>((((2*(B90+C90))*D90)+(B90*(E90-D90))+(C90*(E90-D90))+(2*(B90*AD92)))/1000000)</f>
        <v>0</v>
      </c>
      <c r="V92" s="112">
        <f>((IF(U92&lt;=informatieblad!$I$18,informatieblad!$I$18,IF(U92&gt;=informatieblad!$I$18,U92))))</f>
        <v>0.5</v>
      </c>
      <c r="W92" s="112">
        <f>((((2*(B90+C90))*D90)+(B90*(E90-D90))+(C90*(E90-D90))+(2*(B90*AD92)))/1000000)</f>
        <v>0</v>
      </c>
      <c r="X92" s="112">
        <f>((IF(W92&lt;=informatieblad!$H$18,informatieblad!$H$18,IF(W92&gt;=informatieblad!$H$18,W92))))</f>
        <v>0</v>
      </c>
      <c r="Y92" s="113">
        <f>((X92*AI92)+(X92*AB92))*C92</f>
        <v>0</v>
      </c>
      <c r="Z92" s="114">
        <f>((V92*AJ92)+(V92*AC92))*C92</f>
        <v>0</v>
      </c>
      <c r="AA92" s="115" t="str">
        <f>F92</f>
        <v>Options None</v>
      </c>
      <c r="AB92" s="115">
        <f>VLOOKUP(F92,informatieblad!$A$37:$D$41,2,FALSE)</f>
        <v>0</v>
      </c>
      <c r="AC92" s="115">
        <f>VLOOKUP(F92,informatieblad!$A$37:$D$41,4,FALSE)</f>
        <v>0</v>
      </c>
      <c r="AD92" s="159">
        <f>(SQRT((((TAN(F90*(PI()/180)))*C90)^2)+(C90^2)))</f>
        <v>0</v>
      </c>
      <c r="AE92" s="119">
        <f>ROUND(((TAN(F90*(PI()/180)))*C90),0)</f>
        <v>0</v>
      </c>
      <c r="AF92" s="119"/>
      <c r="AG92" s="119">
        <f>(MAX(B90:C90))</f>
        <v>0</v>
      </c>
      <c r="AH92" s="119">
        <f>LOOKUP(AG92,informatieblad!$C$27:$C$32,informatieblad!$A$27:$A$32)</f>
        <v>0.5</v>
      </c>
      <c r="AI92" s="118">
        <f>VLOOKUP(AH92,informatieblad!$A$27:$M$32,6,FALSE)</f>
        <v>0</v>
      </c>
      <c r="AJ92" s="118">
        <f>VLOOKUP(AH92,informatieblad!$A$27:$M$32,8,FALSE)</f>
        <v>45.1248</v>
      </c>
      <c r="AK92" s="120">
        <f>VLOOKUP(AH92,informatieblad!$A$27:$M$32,13,FALSE)</f>
        <v>4</v>
      </c>
      <c r="AL92" s="121">
        <f>ROUND((AK92*W92),1)</f>
        <v>0</v>
      </c>
      <c r="AO92" s="111">
        <f>(IF(B91=AO90,((2*B90)+(2*C90)),IF(B91=AO91,((2*B90)+(2*C90)),0)))*C92</f>
        <v>0</v>
      </c>
      <c r="AP92" s="111">
        <f>(IF(B91=AP90,((2*B90)+(2*C90)),IF(B91=AP91,((2*B90)+(2*C90)),0)))*C92</f>
        <v>0</v>
      </c>
      <c r="AQ92" s="261">
        <f>(IF(B91=AQ90,((2*B90)+(2*C90)),IF(B91=AQ91,((2*B90)+(2*C90)),0)))*C92</f>
        <v>0</v>
      </c>
      <c r="AR92" s="283">
        <f>(IF(B91=AR90,((2*B90)+(2*C90)),0))*C92</f>
        <v>0</v>
      </c>
      <c r="AS92" s="64"/>
      <c r="AT92" s="268">
        <f>E90*C92</f>
        <v>0</v>
      </c>
      <c r="AU92" s="64"/>
      <c r="AV92" s="268">
        <f>(AG92+100)*C92</f>
        <v>0</v>
      </c>
      <c r="AW92" s="64"/>
      <c r="AX92" s="111" t="str">
        <f>IF(B91=informatieblad!$A$6,informatieblad!$B$6,IF(B91=informatieblad!$A$7,informatieblad!$B$7,IF(B91=informatieblad!$A$8,informatieblad!$B$8,IF(B91=informatieblad!$A$2,informatieblad!$B$2,IF(B91=informatieblad!$A$3,informatieblad!$B$3,IF(B91=informatieblad!$A$4,informatieblad!$B$4,IF(B91=informatieblad!$A$5,informatieblad!$B$5,"")))))))</f>
        <v/>
      </c>
      <c r="AY92" s="276">
        <f>IF(AX92=AY90,(4*C92),0)</f>
        <v>0</v>
      </c>
      <c r="AZ92" s="274">
        <f>IF(AX92=AZ90,(4*C92),0)</f>
        <v>0</v>
      </c>
    </row>
    <row r="93" spans="1:52" ht="5.0999999999999996" customHeight="1" thickBot="1">
      <c r="A93" s="231"/>
      <c r="B93" s="232"/>
      <c r="C93" s="232"/>
      <c r="D93" s="232"/>
      <c r="E93" s="232"/>
      <c r="F93" s="232"/>
      <c r="G93" s="232"/>
      <c r="H93" s="232"/>
      <c r="I93" s="233"/>
      <c r="J93" s="64"/>
    </row>
    <row r="94" spans="1:52" ht="15" customHeight="1" thickBot="1">
      <c r="A94" s="494"/>
      <c r="B94" s="234"/>
      <c r="C94" s="234"/>
      <c r="D94" s="333">
        <f>(B94&gt;0)*$I$8</f>
        <v>0</v>
      </c>
      <c r="E94" s="244">
        <f>D94+AE96</f>
        <v>0</v>
      </c>
      <c r="F94" s="243">
        <f>(B94&gt;0)*$I$9</f>
        <v>0</v>
      </c>
      <c r="G94" s="221"/>
      <c r="H94" s="221"/>
      <c r="I94" s="222"/>
      <c r="J94" s="345" t="s">
        <v>20</v>
      </c>
      <c r="T94" s="97" t="s">
        <v>14</v>
      </c>
      <c r="U94" s="98" t="s">
        <v>27</v>
      </c>
      <c r="V94" s="98" t="s">
        <v>28</v>
      </c>
      <c r="W94" s="98" t="s">
        <v>27</v>
      </c>
      <c r="X94" s="98" t="s">
        <v>28</v>
      </c>
      <c r="Y94" s="98" t="s">
        <v>29</v>
      </c>
      <c r="Z94" s="66" t="s">
        <v>30</v>
      </c>
      <c r="AA94" s="153" t="s">
        <v>31</v>
      </c>
      <c r="AB94" s="153"/>
      <c r="AC94" s="153"/>
      <c r="AD94" s="97" t="s">
        <v>164</v>
      </c>
      <c r="AE94" s="98" t="s">
        <v>165</v>
      </c>
      <c r="AF94" s="245"/>
      <c r="AG94" s="98" t="s">
        <v>33</v>
      </c>
      <c r="AH94" s="98" t="s">
        <v>34</v>
      </c>
      <c r="AI94" s="98" t="s">
        <v>32</v>
      </c>
      <c r="AJ94" s="98" t="s">
        <v>32</v>
      </c>
      <c r="AK94" s="98" t="s">
        <v>50</v>
      </c>
      <c r="AL94" s="101" t="s">
        <v>36</v>
      </c>
      <c r="AO94" s="97" t="str">
        <f>informatieblad!$A$6</f>
        <v>FL20</v>
      </c>
      <c r="AP94" s="97" t="str">
        <f>informatieblad!$A$7</f>
        <v>FL30</v>
      </c>
      <c r="AQ94" s="99" t="str">
        <f>informatieblad!$A$8</f>
        <v>FL40</v>
      </c>
      <c r="AR94" s="266" t="str">
        <f>informatieblad!$A$5</f>
        <v>none</v>
      </c>
      <c r="AS94" s="64"/>
      <c r="AT94" s="266" t="s">
        <v>17</v>
      </c>
      <c r="AU94" s="64"/>
      <c r="AV94" s="266" t="s">
        <v>37</v>
      </c>
      <c r="AW94" s="64"/>
      <c r="AX94" s="269" t="s">
        <v>38</v>
      </c>
      <c r="AY94" s="272">
        <f>informatieblad!$B$3</f>
        <v>0</v>
      </c>
      <c r="AZ94" s="264">
        <f>informatieblad!$B$4</f>
        <v>0</v>
      </c>
    </row>
    <row r="95" spans="1:52" ht="15" customHeight="1">
      <c r="A95" s="475"/>
      <c r="B95" s="502" t="str">
        <f>IF($C96&gt;0,IF(MAX(B94,C94)&lt;informatieblad!$Q$4,informatieblad!$P$3,IF(MAX(B94,C94)&gt;informatieblad!$R$4,informatieblad!$P$5,informatieblad!$P$4)),"")</f>
        <v/>
      </c>
      <c r="C95" s="503"/>
      <c r="D95" s="223"/>
      <c r="E95" s="223"/>
      <c r="F95" s="334" t="str">
        <f>A94&amp;"-"&amp;informatieblad!$B$18&amp;"-"&amp;B94&amp;"-"&amp;C94&amp;"-"&amp;D94&amp;"-"&amp;E94&amp;"-"&amp;F94&amp;"-"&amp;B95&amp;"-"&amp;F96</f>
        <v>-RctG---0-0-0--Options None</v>
      </c>
      <c r="G95" s="235"/>
      <c r="H95" s="235"/>
      <c r="I95" s="236"/>
      <c r="J95" s="83"/>
      <c r="T95" s="103">
        <f>A94</f>
        <v>0</v>
      </c>
      <c r="U95" s="104" t="s">
        <v>39</v>
      </c>
      <c r="V95" s="104" t="s">
        <v>39</v>
      </c>
      <c r="W95" s="104" t="s">
        <v>40</v>
      </c>
      <c r="X95" s="104" t="s">
        <v>40</v>
      </c>
      <c r="Y95" s="104" t="s">
        <v>40</v>
      </c>
      <c r="Z95" s="105"/>
      <c r="AA95" s="155" t="s">
        <v>27</v>
      </c>
      <c r="AB95" s="155" t="s">
        <v>40</v>
      </c>
      <c r="AC95" s="155" t="s">
        <v>41</v>
      </c>
      <c r="AD95" s="246" t="s">
        <v>166</v>
      </c>
      <c r="AE95" s="104" t="s">
        <v>167</v>
      </c>
      <c r="AF95" s="247"/>
      <c r="AG95" s="104" t="s">
        <v>44</v>
      </c>
      <c r="AH95" s="104"/>
      <c r="AI95" s="104" t="s">
        <v>40</v>
      </c>
      <c r="AJ95" s="104" t="s">
        <v>41</v>
      </c>
      <c r="AK95" s="108"/>
      <c r="AL95" s="109"/>
      <c r="AO95" s="262" t="str">
        <f>informatieblad!$A$2</f>
        <v>FL20 loose</v>
      </c>
      <c r="AP95" s="262" t="str">
        <f>informatieblad!$A$3</f>
        <v>FL30 loose</v>
      </c>
      <c r="AQ95" s="263" t="str">
        <f>informatieblad!$A$4</f>
        <v>FL40 loose</v>
      </c>
      <c r="AR95" s="282"/>
      <c r="AS95" s="64"/>
      <c r="AT95" s="267"/>
      <c r="AU95" s="64"/>
      <c r="AV95" s="267"/>
      <c r="AW95" s="64"/>
      <c r="AX95" s="265" t="s">
        <v>47</v>
      </c>
      <c r="AY95" s="83" t="s">
        <v>23</v>
      </c>
      <c r="AZ95" s="273" t="s">
        <v>23</v>
      </c>
    </row>
    <row r="96" spans="1:52" ht="15.75" customHeight="1" thickBot="1">
      <c r="A96" s="495"/>
      <c r="B96" s="227" t="s">
        <v>23</v>
      </c>
      <c r="C96" s="237"/>
      <c r="D96" s="229">
        <f>C96*V96</f>
        <v>0</v>
      </c>
      <c r="E96" s="230" t="s">
        <v>24</v>
      </c>
      <c r="F96" s="498" t="s">
        <v>25</v>
      </c>
      <c r="G96" s="452"/>
      <c r="H96" s="452"/>
      <c r="I96" s="453"/>
      <c r="J96" s="176"/>
      <c r="T96" s="111"/>
      <c r="U96" s="112">
        <f>((((2*(B94+C94))*D94)+(B94*(E94-D94))+(C94*(E94-D94))+(2*(B94*AD96)))/1000000)</f>
        <v>0</v>
      </c>
      <c r="V96" s="112">
        <f>((IF(U96&lt;=informatieblad!$I$18,informatieblad!$I$18,IF(U96&gt;=informatieblad!$I$18,U96))))</f>
        <v>0.5</v>
      </c>
      <c r="W96" s="112">
        <f>((((2*(B94+C94))*D94)+(B94*(E94-D94))+(C94*(E94-D94))+(2*(B94*AD96)))/1000000)</f>
        <v>0</v>
      </c>
      <c r="X96" s="112">
        <f>((IF(W96&lt;=informatieblad!$H$18,informatieblad!$H$18,IF(W96&gt;=informatieblad!$H$18,W96))))</f>
        <v>0</v>
      </c>
      <c r="Y96" s="113">
        <f>((X96*AI96)+(X96*AB96))*C96</f>
        <v>0</v>
      </c>
      <c r="Z96" s="114">
        <f>((V96*AJ96)+(V96*AC96))*C96</f>
        <v>0</v>
      </c>
      <c r="AA96" s="115" t="str">
        <f>F96</f>
        <v>Options None</v>
      </c>
      <c r="AB96" s="115">
        <f>VLOOKUP(F96,informatieblad!$A$37:$D$41,2,FALSE)</f>
        <v>0</v>
      </c>
      <c r="AC96" s="115">
        <f>VLOOKUP(F96,informatieblad!$A$37:$D$41,4,FALSE)</f>
        <v>0</v>
      </c>
      <c r="AD96" s="159">
        <f>(SQRT((((TAN(F94*(PI()/180)))*C94)^2)+(C94^2)))</f>
        <v>0</v>
      </c>
      <c r="AE96" s="119">
        <f>ROUND(((TAN(F94*(PI()/180)))*C94),0)</f>
        <v>0</v>
      </c>
      <c r="AF96" s="119"/>
      <c r="AG96" s="119">
        <f>(MAX(B94:C94))</f>
        <v>0</v>
      </c>
      <c r="AH96" s="119">
        <f>LOOKUP(AG96,informatieblad!$C$27:$C$32,informatieblad!$A$27:$A$32)</f>
        <v>0.5</v>
      </c>
      <c r="AI96" s="118">
        <f>VLOOKUP(AH96,informatieblad!$A$27:$M$32,6,FALSE)</f>
        <v>0</v>
      </c>
      <c r="AJ96" s="118">
        <f>VLOOKUP(AH96,informatieblad!$A$27:$M$32,8,FALSE)</f>
        <v>45.1248</v>
      </c>
      <c r="AK96" s="120">
        <f>VLOOKUP(AH96,informatieblad!$A$27:$M$32,13,FALSE)</f>
        <v>4</v>
      </c>
      <c r="AL96" s="121">
        <f>ROUND((AK96*W96),1)</f>
        <v>0</v>
      </c>
      <c r="AO96" s="111">
        <f>(IF(B95=AO94,((2*B94)+(2*C94)),IF(B95=AO95,((2*B94)+(2*C94)),0)))*C96</f>
        <v>0</v>
      </c>
      <c r="AP96" s="111">
        <f>(IF(B95=AP94,((2*B94)+(2*C94)),IF(B95=AP95,((2*B94)+(2*C94)),0)))*C96</f>
        <v>0</v>
      </c>
      <c r="AQ96" s="261">
        <f>(IF(B95=AQ94,((2*B94)+(2*C94)),IF(B95=AQ95,((2*B94)+(2*C94)),0)))*C96</f>
        <v>0</v>
      </c>
      <c r="AR96" s="283">
        <f>(IF(B95=AR94,((2*B94)+(2*C94)),0))*C96</f>
        <v>0</v>
      </c>
      <c r="AS96" s="64"/>
      <c r="AT96" s="268">
        <f>E94*C96</f>
        <v>0</v>
      </c>
      <c r="AU96" s="64"/>
      <c r="AV96" s="268">
        <f>(AG96+100)*C96</f>
        <v>0</v>
      </c>
      <c r="AW96" s="64"/>
      <c r="AX96" s="111" t="str">
        <f>IF(B95=informatieblad!$A$6,informatieblad!$B$6,IF(B95=informatieblad!$A$7,informatieblad!$B$7,IF(B95=informatieblad!$A$8,informatieblad!$B$8,IF(B95=informatieblad!$A$2,informatieblad!$B$2,IF(B95=informatieblad!$A$3,informatieblad!$B$3,IF(B95=informatieblad!$A$4,informatieblad!$B$4,IF(B95=informatieblad!$A$5,informatieblad!$B$5,"")))))))</f>
        <v/>
      </c>
      <c r="AY96" s="276">
        <f>IF(AX96=AY94,(4*C96),0)</f>
        <v>0</v>
      </c>
      <c r="AZ96" s="274">
        <f>IF(AX96=AZ94,(4*C96),0)</f>
        <v>0</v>
      </c>
    </row>
    <row r="97" spans="1:52" ht="15.75" thickBot="1">
      <c r="A97" s="231"/>
      <c r="B97" s="232"/>
      <c r="C97" s="232"/>
      <c r="D97" s="232"/>
      <c r="E97" s="232"/>
      <c r="F97" s="232"/>
      <c r="G97" s="232"/>
      <c r="H97" s="232"/>
      <c r="I97" s="233"/>
      <c r="J97" s="64"/>
    </row>
    <row r="98" spans="1:52" ht="15" customHeight="1" thickBot="1">
      <c r="A98" s="494"/>
      <c r="B98" s="234"/>
      <c r="C98" s="234"/>
      <c r="D98" s="333">
        <f>(B98&gt;0)*$I$8</f>
        <v>0</v>
      </c>
      <c r="E98" s="244">
        <f>D98+AE100</f>
        <v>0</v>
      </c>
      <c r="F98" s="243">
        <f>(B98&gt;0)*$I$9</f>
        <v>0</v>
      </c>
      <c r="G98" s="221"/>
      <c r="H98" s="221"/>
      <c r="I98" s="222"/>
      <c r="J98" s="345" t="s">
        <v>20</v>
      </c>
      <c r="T98" s="97" t="s">
        <v>14</v>
      </c>
      <c r="U98" s="98" t="s">
        <v>27</v>
      </c>
      <c r="V98" s="98" t="s">
        <v>28</v>
      </c>
      <c r="W98" s="98" t="s">
        <v>27</v>
      </c>
      <c r="X98" s="98" t="s">
        <v>28</v>
      </c>
      <c r="Y98" s="98" t="s">
        <v>29</v>
      </c>
      <c r="Z98" s="66" t="s">
        <v>30</v>
      </c>
      <c r="AA98" s="153" t="s">
        <v>31</v>
      </c>
      <c r="AB98" s="153"/>
      <c r="AC98" s="153"/>
      <c r="AD98" s="97" t="s">
        <v>164</v>
      </c>
      <c r="AE98" s="98" t="s">
        <v>165</v>
      </c>
      <c r="AF98" s="245"/>
      <c r="AG98" s="98" t="s">
        <v>33</v>
      </c>
      <c r="AH98" s="98" t="s">
        <v>34</v>
      </c>
      <c r="AI98" s="98" t="s">
        <v>32</v>
      </c>
      <c r="AJ98" s="98" t="s">
        <v>32</v>
      </c>
      <c r="AK98" s="98" t="s">
        <v>50</v>
      </c>
      <c r="AL98" s="101" t="s">
        <v>36</v>
      </c>
      <c r="AO98" s="97" t="str">
        <f>informatieblad!$A$6</f>
        <v>FL20</v>
      </c>
      <c r="AP98" s="97" t="str">
        <f>informatieblad!$A$7</f>
        <v>FL30</v>
      </c>
      <c r="AQ98" s="99" t="str">
        <f>informatieblad!$A$8</f>
        <v>FL40</v>
      </c>
      <c r="AR98" s="266" t="str">
        <f>informatieblad!$A$5</f>
        <v>none</v>
      </c>
      <c r="AS98" s="64"/>
      <c r="AT98" s="266" t="s">
        <v>17</v>
      </c>
      <c r="AU98" s="64"/>
      <c r="AV98" s="266" t="s">
        <v>37</v>
      </c>
      <c r="AW98" s="64"/>
      <c r="AX98" s="269" t="s">
        <v>38</v>
      </c>
      <c r="AY98" s="272">
        <f>informatieblad!$B$3</f>
        <v>0</v>
      </c>
      <c r="AZ98" s="264">
        <f>informatieblad!$B$4</f>
        <v>0</v>
      </c>
    </row>
    <row r="99" spans="1:52" ht="15" customHeight="1">
      <c r="A99" s="475"/>
      <c r="B99" s="502" t="str">
        <f>IF($C100&gt;0,IF(MAX(B98,C98)&lt;informatieblad!$Q$4,informatieblad!$P$3,IF(MAX(B98,C98)&gt;informatieblad!$R$4,informatieblad!$P$5,informatieblad!$P$4)),"")</f>
        <v/>
      </c>
      <c r="C99" s="503"/>
      <c r="D99" s="223"/>
      <c r="E99" s="223"/>
      <c r="F99" s="334" t="str">
        <f>A98&amp;"-"&amp;informatieblad!$B$18&amp;"-"&amp;B98&amp;"-"&amp;C98&amp;"-"&amp;D98&amp;"-"&amp;E98&amp;"-"&amp;F98&amp;"-"&amp;B99&amp;"-"&amp;F100</f>
        <v>-RctG---0-0-0--Options None</v>
      </c>
      <c r="G99" s="235"/>
      <c r="H99" s="235"/>
      <c r="I99" s="236"/>
      <c r="J99" s="83"/>
      <c r="T99" s="103">
        <f>A98</f>
        <v>0</v>
      </c>
      <c r="U99" s="104" t="s">
        <v>39</v>
      </c>
      <c r="V99" s="104" t="s">
        <v>39</v>
      </c>
      <c r="W99" s="104" t="s">
        <v>40</v>
      </c>
      <c r="X99" s="104" t="s">
        <v>40</v>
      </c>
      <c r="Y99" s="104" t="s">
        <v>40</v>
      </c>
      <c r="Z99" s="105"/>
      <c r="AA99" s="155" t="s">
        <v>27</v>
      </c>
      <c r="AB99" s="155" t="s">
        <v>40</v>
      </c>
      <c r="AC99" s="155" t="s">
        <v>41</v>
      </c>
      <c r="AD99" s="246" t="s">
        <v>166</v>
      </c>
      <c r="AE99" s="104" t="s">
        <v>167</v>
      </c>
      <c r="AF99" s="247"/>
      <c r="AG99" s="104" t="s">
        <v>44</v>
      </c>
      <c r="AH99" s="104"/>
      <c r="AI99" s="104" t="s">
        <v>40</v>
      </c>
      <c r="AJ99" s="104" t="s">
        <v>41</v>
      </c>
      <c r="AK99" s="108"/>
      <c r="AL99" s="109"/>
      <c r="AO99" s="262" t="str">
        <f>informatieblad!$A$2</f>
        <v>FL20 loose</v>
      </c>
      <c r="AP99" s="262" t="str">
        <f>informatieblad!$A$3</f>
        <v>FL30 loose</v>
      </c>
      <c r="AQ99" s="263" t="str">
        <f>informatieblad!$A$4</f>
        <v>FL40 loose</v>
      </c>
      <c r="AR99" s="282"/>
      <c r="AS99" s="64"/>
      <c r="AT99" s="267"/>
      <c r="AU99" s="64"/>
      <c r="AV99" s="267"/>
      <c r="AW99" s="64"/>
      <c r="AX99" s="265" t="s">
        <v>47</v>
      </c>
      <c r="AY99" s="83" t="s">
        <v>23</v>
      </c>
      <c r="AZ99" s="273" t="s">
        <v>23</v>
      </c>
    </row>
    <row r="100" spans="1:52" ht="15.75" customHeight="1" thickBot="1">
      <c r="A100" s="495"/>
      <c r="B100" s="227" t="s">
        <v>23</v>
      </c>
      <c r="C100" s="237"/>
      <c r="D100" s="229">
        <f>C100*V100</f>
        <v>0</v>
      </c>
      <c r="E100" s="230" t="s">
        <v>24</v>
      </c>
      <c r="F100" s="498" t="s">
        <v>25</v>
      </c>
      <c r="G100" s="452"/>
      <c r="H100" s="452"/>
      <c r="I100" s="453"/>
      <c r="J100" s="176"/>
      <c r="T100" s="111"/>
      <c r="U100" s="112">
        <f>((((2*(B98+C98))*D98)+(B98*(E98-D98))+(C98*(E98-D98))+(2*(B98*AD100)))/1000000)</f>
        <v>0</v>
      </c>
      <c r="V100" s="112">
        <f>((IF(U100&lt;=informatieblad!$I$18,informatieblad!$I$18,IF(U100&gt;=informatieblad!$I$18,U100))))</f>
        <v>0.5</v>
      </c>
      <c r="W100" s="112">
        <f>((((2*(B98+C98))*D98)+(B98*(E98-D98))+(C98*(E98-D98))+(2*(B98*AD100)))/1000000)</f>
        <v>0</v>
      </c>
      <c r="X100" s="112">
        <f>((IF(W100&lt;=informatieblad!$H$18,informatieblad!$H$18,IF(W100&gt;=informatieblad!$H$18,W100))))</f>
        <v>0</v>
      </c>
      <c r="Y100" s="113">
        <f>((X100*AI100)+(X100*AB100))*C100</f>
        <v>0</v>
      </c>
      <c r="Z100" s="114">
        <f>((V100*AJ100)+(V100*AC100))*C100</f>
        <v>0</v>
      </c>
      <c r="AA100" s="115" t="str">
        <f>F100</f>
        <v>Options None</v>
      </c>
      <c r="AB100" s="115">
        <f>VLOOKUP(F100,informatieblad!$A$37:$D$41,2,FALSE)</f>
        <v>0</v>
      </c>
      <c r="AC100" s="115">
        <f>VLOOKUP(F100,informatieblad!$A$37:$D$41,4,FALSE)</f>
        <v>0</v>
      </c>
      <c r="AD100" s="159">
        <f>(SQRT((((TAN(F98*(PI()/180)))*C98)^2)+(C98^2)))</f>
        <v>0</v>
      </c>
      <c r="AE100" s="119">
        <f>ROUND(((TAN(F98*(PI()/180)))*C98),0)</f>
        <v>0</v>
      </c>
      <c r="AF100" s="119"/>
      <c r="AG100" s="119">
        <f>(MAX(B98:C98))</f>
        <v>0</v>
      </c>
      <c r="AH100" s="119">
        <f>LOOKUP(AG100,informatieblad!$C$27:$C$32,informatieblad!$A$27:$A$32)</f>
        <v>0.5</v>
      </c>
      <c r="AI100" s="118">
        <f>VLOOKUP(AH100,informatieblad!$A$27:$M$32,6,FALSE)</f>
        <v>0</v>
      </c>
      <c r="AJ100" s="118">
        <f>VLOOKUP(AH100,informatieblad!$A$27:$M$32,8,FALSE)</f>
        <v>45.1248</v>
      </c>
      <c r="AK100" s="120">
        <f>VLOOKUP(AH100,informatieblad!$A$27:$M$32,13,FALSE)</f>
        <v>4</v>
      </c>
      <c r="AL100" s="121">
        <f>ROUND((AK100*W100),1)</f>
        <v>0</v>
      </c>
      <c r="AO100" s="111">
        <f>(IF(B99=AO98,((2*B98)+(2*C98)),IF(B99=AO99,((2*B98)+(2*C98)),0)))*C100</f>
        <v>0</v>
      </c>
      <c r="AP100" s="111">
        <f>(IF(B99=AP98,((2*B98)+(2*C98)),IF(B99=AP99,((2*B98)+(2*C98)),0)))*C100</f>
        <v>0</v>
      </c>
      <c r="AQ100" s="261">
        <f>(IF(B99=AQ98,((2*B98)+(2*C98)),IF(B99=AQ99,((2*B98)+(2*C98)),0)))*C100</f>
        <v>0</v>
      </c>
      <c r="AR100" s="283">
        <f>(IF(B99=AR98,((2*B98)+(2*C98)),0))*C100</f>
        <v>0</v>
      </c>
      <c r="AS100" s="64"/>
      <c r="AT100" s="268">
        <f>E98*C100</f>
        <v>0</v>
      </c>
      <c r="AU100" s="64"/>
      <c r="AV100" s="268">
        <f>(AG100+100)*C100</f>
        <v>0</v>
      </c>
      <c r="AW100" s="64"/>
      <c r="AX100" s="111" t="str">
        <f>IF(B99=informatieblad!$A$6,informatieblad!$B$6,IF(B99=informatieblad!$A$7,informatieblad!$B$7,IF(B99=informatieblad!$A$8,informatieblad!$B$8,IF(B99=informatieblad!$A$2,informatieblad!$B$2,IF(B99=informatieblad!$A$3,informatieblad!$B$3,IF(B99=informatieblad!$A$4,informatieblad!$B$4,IF(B99=informatieblad!$A$5,informatieblad!$B$5,"")))))))</f>
        <v/>
      </c>
      <c r="AY100" s="276">
        <f>IF(AX100=AY98,(4*C100),0)</f>
        <v>0</v>
      </c>
      <c r="AZ100" s="274">
        <f>IF(AX100=AZ98,(4*C100),0)</f>
        <v>0</v>
      </c>
    </row>
    <row r="101" spans="1:52" ht="5.0999999999999996" customHeight="1" thickBot="1">
      <c r="A101" s="231"/>
      <c r="B101" s="232"/>
      <c r="C101" s="232"/>
      <c r="D101" s="232"/>
      <c r="E101" s="232"/>
      <c r="F101" s="232"/>
      <c r="G101" s="232"/>
      <c r="H101" s="232"/>
      <c r="I101" s="233"/>
      <c r="J101" s="64"/>
    </row>
    <row r="102" spans="1:52" ht="15" customHeight="1" thickBot="1">
      <c r="A102" s="494"/>
      <c r="B102" s="234"/>
      <c r="C102" s="234"/>
      <c r="D102" s="333">
        <f>(B102&gt;0)*$I$8</f>
        <v>0</v>
      </c>
      <c r="E102" s="244">
        <f>D102+AE104</f>
        <v>0</v>
      </c>
      <c r="F102" s="243">
        <f>(B102&gt;0)*$I$9</f>
        <v>0</v>
      </c>
      <c r="G102" s="221"/>
      <c r="H102" s="221"/>
      <c r="I102" s="222"/>
      <c r="J102" s="345" t="s">
        <v>20</v>
      </c>
      <c r="T102" s="97" t="s">
        <v>14</v>
      </c>
      <c r="U102" s="98" t="s">
        <v>27</v>
      </c>
      <c r="V102" s="98" t="s">
        <v>28</v>
      </c>
      <c r="W102" s="98" t="s">
        <v>27</v>
      </c>
      <c r="X102" s="98" t="s">
        <v>28</v>
      </c>
      <c r="Y102" s="98" t="s">
        <v>29</v>
      </c>
      <c r="Z102" s="66" t="s">
        <v>30</v>
      </c>
      <c r="AA102" s="153" t="s">
        <v>31</v>
      </c>
      <c r="AB102" s="153"/>
      <c r="AC102" s="153"/>
      <c r="AD102" s="97" t="s">
        <v>164</v>
      </c>
      <c r="AE102" s="98" t="s">
        <v>165</v>
      </c>
      <c r="AF102" s="245"/>
      <c r="AG102" s="98" t="s">
        <v>33</v>
      </c>
      <c r="AH102" s="98" t="s">
        <v>34</v>
      </c>
      <c r="AI102" s="98" t="s">
        <v>32</v>
      </c>
      <c r="AJ102" s="98" t="s">
        <v>32</v>
      </c>
      <c r="AK102" s="98" t="s">
        <v>50</v>
      </c>
      <c r="AL102" s="101" t="s">
        <v>36</v>
      </c>
      <c r="AO102" s="97" t="str">
        <f>informatieblad!$A$6</f>
        <v>FL20</v>
      </c>
      <c r="AP102" s="97" t="str">
        <f>informatieblad!$A$7</f>
        <v>FL30</v>
      </c>
      <c r="AQ102" s="99" t="str">
        <f>informatieblad!$A$8</f>
        <v>FL40</v>
      </c>
      <c r="AR102" s="266" t="str">
        <f>informatieblad!$A$5</f>
        <v>none</v>
      </c>
      <c r="AS102" s="64"/>
      <c r="AT102" s="266" t="s">
        <v>17</v>
      </c>
      <c r="AU102" s="64"/>
      <c r="AV102" s="266" t="s">
        <v>37</v>
      </c>
      <c r="AW102" s="64"/>
      <c r="AX102" s="269" t="s">
        <v>38</v>
      </c>
      <c r="AY102" s="272">
        <f>informatieblad!$B$3</f>
        <v>0</v>
      </c>
      <c r="AZ102" s="264">
        <f>informatieblad!$B$4</f>
        <v>0</v>
      </c>
    </row>
    <row r="103" spans="1:52" ht="15" customHeight="1">
      <c r="A103" s="475"/>
      <c r="B103" s="502" t="str">
        <f>IF($C104&gt;0,IF(MAX(B102,C102)&lt;informatieblad!$Q$4,informatieblad!$P$3,IF(MAX(B102,C102)&gt;informatieblad!$R$4,informatieblad!$P$5,informatieblad!$P$4)),"")</f>
        <v/>
      </c>
      <c r="C103" s="503"/>
      <c r="D103" s="223"/>
      <c r="E103" s="223"/>
      <c r="F103" s="334" t="str">
        <f>A102&amp;"-"&amp;informatieblad!$B$18&amp;"-"&amp;B102&amp;"-"&amp;C102&amp;"-"&amp;D102&amp;"-"&amp;E102&amp;"-"&amp;F102&amp;"-"&amp;B103&amp;"-"&amp;F104</f>
        <v>-RctG---0-0-0--Options None</v>
      </c>
      <c r="G103" s="235"/>
      <c r="H103" s="235"/>
      <c r="I103" s="236"/>
      <c r="J103" s="83"/>
      <c r="T103" s="103">
        <f>A102</f>
        <v>0</v>
      </c>
      <c r="U103" s="104" t="s">
        <v>39</v>
      </c>
      <c r="V103" s="104" t="s">
        <v>39</v>
      </c>
      <c r="W103" s="104" t="s">
        <v>40</v>
      </c>
      <c r="X103" s="104" t="s">
        <v>40</v>
      </c>
      <c r="Y103" s="104" t="s">
        <v>40</v>
      </c>
      <c r="Z103" s="105"/>
      <c r="AA103" s="155" t="s">
        <v>27</v>
      </c>
      <c r="AB103" s="155" t="s">
        <v>40</v>
      </c>
      <c r="AC103" s="155" t="s">
        <v>41</v>
      </c>
      <c r="AD103" s="246" t="s">
        <v>166</v>
      </c>
      <c r="AE103" s="104" t="s">
        <v>167</v>
      </c>
      <c r="AF103" s="247"/>
      <c r="AG103" s="104" t="s">
        <v>44</v>
      </c>
      <c r="AH103" s="104"/>
      <c r="AI103" s="104" t="s">
        <v>40</v>
      </c>
      <c r="AJ103" s="104" t="s">
        <v>41</v>
      </c>
      <c r="AK103" s="108"/>
      <c r="AL103" s="109"/>
      <c r="AO103" s="262" t="str">
        <f>informatieblad!$A$2</f>
        <v>FL20 loose</v>
      </c>
      <c r="AP103" s="262" t="str">
        <f>informatieblad!$A$3</f>
        <v>FL30 loose</v>
      </c>
      <c r="AQ103" s="263" t="str">
        <f>informatieblad!$A$4</f>
        <v>FL40 loose</v>
      </c>
      <c r="AR103" s="282"/>
      <c r="AS103" s="64"/>
      <c r="AT103" s="267"/>
      <c r="AU103" s="64"/>
      <c r="AV103" s="267"/>
      <c r="AW103" s="64"/>
      <c r="AX103" s="265" t="s">
        <v>47</v>
      </c>
      <c r="AY103" s="83" t="s">
        <v>23</v>
      </c>
      <c r="AZ103" s="273" t="s">
        <v>23</v>
      </c>
    </row>
    <row r="104" spans="1:52" ht="15.75" customHeight="1" thickBot="1">
      <c r="A104" s="495"/>
      <c r="B104" s="227" t="s">
        <v>23</v>
      </c>
      <c r="C104" s="237"/>
      <c r="D104" s="229">
        <f>C104*V104</f>
        <v>0</v>
      </c>
      <c r="E104" s="230" t="s">
        <v>24</v>
      </c>
      <c r="F104" s="498" t="s">
        <v>25</v>
      </c>
      <c r="G104" s="452"/>
      <c r="H104" s="452"/>
      <c r="I104" s="453"/>
      <c r="J104" s="176"/>
      <c r="T104" s="111"/>
      <c r="U104" s="112">
        <f>((((2*(B102+C102))*D102)+(B102*(E102-D102))+(C102*(E102-D102))+(2*(B102*AD104)))/1000000)</f>
        <v>0</v>
      </c>
      <c r="V104" s="112">
        <f>((IF(U104&lt;=informatieblad!$I$18,informatieblad!$I$18,IF(U104&gt;=informatieblad!$I$18,U104))))</f>
        <v>0.5</v>
      </c>
      <c r="W104" s="112">
        <f>((((2*(B102+C102))*D102)+(B102*(E102-D102))+(C102*(E102-D102))+(2*(B102*AD104)))/1000000)</f>
        <v>0</v>
      </c>
      <c r="X104" s="112">
        <f>((IF(W104&lt;=informatieblad!$H$18,informatieblad!$H$18,IF(W104&gt;=informatieblad!$H$18,W104))))</f>
        <v>0</v>
      </c>
      <c r="Y104" s="113">
        <f>((X104*AI104)+(X104*AB104))*C104</f>
        <v>0</v>
      </c>
      <c r="Z104" s="114">
        <f>((V104*AJ104)+(V104*AC104))*C104</f>
        <v>0</v>
      </c>
      <c r="AA104" s="115" t="str">
        <f>F104</f>
        <v>Options None</v>
      </c>
      <c r="AB104" s="115">
        <f>VLOOKUP(F104,informatieblad!$A$37:$D$41,2,FALSE)</f>
        <v>0</v>
      </c>
      <c r="AC104" s="115">
        <f>VLOOKUP(F104,informatieblad!$A$37:$D$41,4,FALSE)</f>
        <v>0</v>
      </c>
      <c r="AD104" s="159">
        <f>(SQRT((((TAN(F102*(PI()/180)))*C102)^2)+(C102^2)))</f>
        <v>0</v>
      </c>
      <c r="AE104" s="119">
        <f>ROUND(((TAN(F102*(PI()/180)))*C102),0)</f>
        <v>0</v>
      </c>
      <c r="AF104" s="119"/>
      <c r="AG104" s="119">
        <f>(MAX(B102:C102))</f>
        <v>0</v>
      </c>
      <c r="AH104" s="119">
        <f>LOOKUP(AG104,informatieblad!$C$27:$C$32,informatieblad!$A$27:$A$32)</f>
        <v>0.5</v>
      </c>
      <c r="AI104" s="118">
        <f>VLOOKUP(AH104,informatieblad!$A$27:$M$32,6,FALSE)</f>
        <v>0</v>
      </c>
      <c r="AJ104" s="118">
        <f>VLOOKUP(AH104,informatieblad!$A$27:$M$32,8,FALSE)</f>
        <v>45.1248</v>
      </c>
      <c r="AK104" s="120">
        <f>VLOOKUP(AH104,informatieblad!$A$27:$M$32,13,FALSE)</f>
        <v>4</v>
      </c>
      <c r="AL104" s="121">
        <f>ROUND((AK104*W104),1)</f>
        <v>0</v>
      </c>
      <c r="AO104" s="111">
        <f>(IF(B103=AO102,((2*B102)+(2*C102)),IF(B103=AO103,((2*B102)+(2*C102)),0)))*C104</f>
        <v>0</v>
      </c>
      <c r="AP104" s="111">
        <f>(IF(B103=AP102,((2*B102)+(2*C102)),IF(B103=AP103,((2*B102)+(2*C102)),0)))*C104</f>
        <v>0</v>
      </c>
      <c r="AQ104" s="261">
        <f>(IF(B103=AQ102,((2*B102)+(2*C102)),IF(B103=AQ103,((2*B102)+(2*C102)),0)))*C104</f>
        <v>0</v>
      </c>
      <c r="AR104" s="283">
        <f>(IF(B103=AR102,((2*B102)+(2*C102)),0))*C104</f>
        <v>0</v>
      </c>
      <c r="AS104" s="64"/>
      <c r="AT104" s="268">
        <f>E102*C104</f>
        <v>0</v>
      </c>
      <c r="AU104" s="64"/>
      <c r="AV104" s="268">
        <f>(AG104+100)*C104</f>
        <v>0</v>
      </c>
      <c r="AW104" s="64"/>
      <c r="AX104" s="111" t="str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/>
      </c>
      <c r="AY104" s="276">
        <f>IF(AX104=AY102,(4*C104),0)</f>
        <v>0</v>
      </c>
      <c r="AZ104" s="274">
        <f>IF(AX104=AZ102,(4*C104),0)</f>
        <v>0</v>
      </c>
    </row>
    <row r="105" spans="1:52" ht="5.0999999999999996" customHeight="1" thickBot="1">
      <c r="A105" s="231"/>
      <c r="B105" s="232"/>
      <c r="C105" s="232"/>
      <c r="D105" s="232"/>
      <c r="E105" s="232"/>
      <c r="F105" s="232"/>
      <c r="G105" s="232"/>
      <c r="H105" s="232"/>
      <c r="I105" s="233"/>
      <c r="J105" s="64"/>
    </row>
    <row r="106" spans="1:52" ht="15" customHeight="1" thickBot="1">
      <c r="A106" s="494"/>
      <c r="B106" s="234"/>
      <c r="C106" s="234"/>
      <c r="D106" s="333">
        <f>(B106&gt;0)*$I$8</f>
        <v>0</v>
      </c>
      <c r="E106" s="244">
        <f>D106+AE108</f>
        <v>0</v>
      </c>
      <c r="F106" s="243">
        <f>(B106&gt;0)*$I$9</f>
        <v>0</v>
      </c>
      <c r="G106" s="221"/>
      <c r="H106" s="221"/>
      <c r="I106" s="222"/>
      <c r="J106" s="345" t="s">
        <v>20</v>
      </c>
      <c r="T106" s="97" t="s">
        <v>14</v>
      </c>
      <c r="U106" s="98" t="s">
        <v>27</v>
      </c>
      <c r="V106" s="98" t="s">
        <v>28</v>
      </c>
      <c r="W106" s="98" t="s">
        <v>27</v>
      </c>
      <c r="X106" s="98" t="s">
        <v>28</v>
      </c>
      <c r="Y106" s="98" t="s">
        <v>29</v>
      </c>
      <c r="Z106" s="66" t="s">
        <v>30</v>
      </c>
      <c r="AA106" s="153" t="s">
        <v>31</v>
      </c>
      <c r="AB106" s="153"/>
      <c r="AC106" s="153"/>
      <c r="AD106" s="97" t="s">
        <v>164</v>
      </c>
      <c r="AE106" s="98" t="s">
        <v>165</v>
      </c>
      <c r="AF106" s="245"/>
      <c r="AG106" s="98" t="s">
        <v>33</v>
      </c>
      <c r="AH106" s="98" t="s">
        <v>34</v>
      </c>
      <c r="AI106" s="98" t="s">
        <v>32</v>
      </c>
      <c r="AJ106" s="98" t="s">
        <v>32</v>
      </c>
      <c r="AK106" s="98" t="s">
        <v>50</v>
      </c>
      <c r="AL106" s="101" t="s">
        <v>36</v>
      </c>
      <c r="AO106" s="97" t="str">
        <f>informatieblad!$A$6</f>
        <v>FL20</v>
      </c>
      <c r="AP106" s="97" t="str">
        <f>informatieblad!$A$7</f>
        <v>FL30</v>
      </c>
      <c r="AQ106" s="99" t="str">
        <f>informatieblad!$A$8</f>
        <v>FL40</v>
      </c>
      <c r="AR106" s="266" t="str">
        <f>informatieblad!$A$5</f>
        <v>none</v>
      </c>
      <c r="AS106" s="64"/>
      <c r="AT106" s="266" t="s">
        <v>17</v>
      </c>
      <c r="AU106" s="64"/>
      <c r="AV106" s="266" t="s">
        <v>37</v>
      </c>
      <c r="AW106" s="64"/>
      <c r="AX106" s="269" t="s">
        <v>38</v>
      </c>
      <c r="AY106" s="272">
        <f>informatieblad!$B$3</f>
        <v>0</v>
      </c>
      <c r="AZ106" s="264">
        <f>informatieblad!$B$4</f>
        <v>0</v>
      </c>
    </row>
    <row r="107" spans="1:52" ht="15" customHeight="1">
      <c r="A107" s="475"/>
      <c r="B107" s="502" t="str">
        <f>IF($C108&gt;0,IF(MAX(B106,C106)&lt;informatieblad!$Q$4,informatieblad!$P$3,IF(MAX(B106,C106)&gt;informatieblad!$R$4,informatieblad!$P$5,informatieblad!$P$4)),"")</f>
        <v/>
      </c>
      <c r="C107" s="503"/>
      <c r="D107" s="223"/>
      <c r="E107" s="223"/>
      <c r="F107" s="334" t="str">
        <f>A106&amp;"-"&amp;informatieblad!$B$18&amp;"-"&amp;B106&amp;"-"&amp;C106&amp;"-"&amp;D106&amp;"-"&amp;E106&amp;"-"&amp;F106&amp;"-"&amp;B107&amp;"-"&amp;F108</f>
        <v>-RctG---0-0-0--Options None</v>
      </c>
      <c r="G107" s="235"/>
      <c r="H107" s="235"/>
      <c r="I107" s="236"/>
      <c r="J107" s="83"/>
      <c r="T107" s="103">
        <f>A106</f>
        <v>0</v>
      </c>
      <c r="U107" s="104" t="s">
        <v>39</v>
      </c>
      <c r="V107" s="104" t="s">
        <v>39</v>
      </c>
      <c r="W107" s="104" t="s">
        <v>40</v>
      </c>
      <c r="X107" s="104" t="s">
        <v>40</v>
      </c>
      <c r="Y107" s="104" t="s">
        <v>40</v>
      </c>
      <c r="Z107" s="105"/>
      <c r="AA107" s="155" t="s">
        <v>27</v>
      </c>
      <c r="AB107" s="155" t="s">
        <v>40</v>
      </c>
      <c r="AC107" s="155" t="s">
        <v>41</v>
      </c>
      <c r="AD107" s="246" t="s">
        <v>166</v>
      </c>
      <c r="AE107" s="104" t="s">
        <v>167</v>
      </c>
      <c r="AF107" s="247"/>
      <c r="AG107" s="104" t="s">
        <v>44</v>
      </c>
      <c r="AH107" s="104"/>
      <c r="AI107" s="104" t="s">
        <v>40</v>
      </c>
      <c r="AJ107" s="104" t="s">
        <v>41</v>
      </c>
      <c r="AK107" s="108"/>
      <c r="AL107" s="109"/>
      <c r="AO107" s="262" t="str">
        <f>informatieblad!$A$2</f>
        <v>FL20 loose</v>
      </c>
      <c r="AP107" s="262" t="str">
        <f>informatieblad!$A$3</f>
        <v>FL30 loose</v>
      </c>
      <c r="AQ107" s="263" t="str">
        <f>informatieblad!$A$4</f>
        <v>FL40 loose</v>
      </c>
      <c r="AR107" s="282"/>
      <c r="AS107" s="64"/>
      <c r="AT107" s="267"/>
      <c r="AU107" s="64"/>
      <c r="AV107" s="267"/>
      <c r="AW107" s="64"/>
      <c r="AX107" s="265" t="s">
        <v>47</v>
      </c>
      <c r="AY107" s="83" t="s">
        <v>23</v>
      </c>
      <c r="AZ107" s="273" t="s">
        <v>23</v>
      </c>
    </row>
    <row r="108" spans="1:52" ht="15.75" customHeight="1" thickBot="1">
      <c r="A108" s="495"/>
      <c r="B108" s="227" t="s">
        <v>23</v>
      </c>
      <c r="C108" s="237"/>
      <c r="D108" s="229">
        <f>C108*V108</f>
        <v>0</v>
      </c>
      <c r="E108" s="230" t="s">
        <v>24</v>
      </c>
      <c r="F108" s="498" t="s">
        <v>25</v>
      </c>
      <c r="G108" s="452"/>
      <c r="H108" s="452"/>
      <c r="I108" s="453"/>
      <c r="J108" s="176"/>
      <c r="T108" s="111"/>
      <c r="U108" s="112">
        <f>((((2*(B106+C106))*D106)+(B106*(E106-D106))+(C106*(E106-D106))+(2*(B106*AD108)))/1000000)</f>
        <v>0</v>
      </c>
      <c r="V108" s="112">
        <f>((IF(U108&lt;=informatieblad!$I$18,informatieblad!$I$18,IF(U108&gt;=informatieblad!$I$18,U108))))</f>
        <v>0.5</v>
      </c>
      <c r="W108" s="112">
        <f>((((2*(B106+C106))*D106)+(B106*(E106-D106))+(C106*(E106-D106))+(2*(B106*AD108)))/1000000)</f>
        <v>0</v>
      </c>
      <c r="X108" s="112">
        <f>((IF(W108&lt;=informatieblad!$H$18,informatieblad!$H$18,IF(W108&gt;=informatieblad!$H$18,W108))))</f>
        <v>0</v>
      </c>
      <c r="Y108" s="113">
        <f>((X108*AI108)+(X108*AB108))*C108</f>
        <v>0</v>
      </c>
      <c r="Z108" s="114">
        <f>((V108*AJ108)+(V108*AC108))*C108</f>
        <v>0</v>
      </c>
      <c r="AA108" s="115" t="str">
        <f>F108</f>
        <v>Options None</v>
      </c>
      <c r="AB108" s="115">
        <f>VLOOKUP(F108,informatieblad!$A$37:$D$41,2,FALSE)</f>
        <v>0</v>
      </c>
      <c r="AC108" s="115">
        <f>VLOOKUP(F108,informatieblad!$A$37:$D$41,4,FALSE)</f>
        <v>0</v>
      </c>
      <c r="AD108" s="159">
        <f>(SQRT((((TAN(F106*(PI()/180)))*C106)^2)+(C106^2)))</f>
        <v>0</v>
      </c>
      <c r="AE108" s="119">
        <f>ROUND(((TAN(F106*(PI()/180)))*C106),0)</f>
        <v>0</v>
      </c>
      <c r="AF108" s="119"/>
      <c r="AG108" s="119">
        <f>(MAX(B106:C106))</f>
        <v>0</v>
      </c>
      <c r="AH108" s="119">
        <f>LOOKUP(AG108,informatieblad!$C$27:$C$32,informatieblad!$A$27:$A$32)</f>
        <v>0.5</v>
      </c>
      <c r="AI108" s="118">
        <f>VLOOKUP(AH108,informatieblad!$A$27:$M$32,6,FALSE)</f>
        <v>0</v>
      </c>
      <c r="AJ108" s="118">
        <f>VLOOKUP(AH108,informatieblad!$A$27:$M$32,8,FALSE)</f>
        <v>45.1248</v>
      </c>
      <c r="AK108" s="120">
        <f>VLOOKUP(AH108,informatieblad!$A$27:$M$32,13,FALSE)</f>
        <v>4</v>
      </c>
      <c r="AL108" s="121">
        <f>ROUND((AK108*W108),1)</f>
        <v>0</v>
      </c>
      <c r="AO108" s="111">
        <f>(IF(B107=AO106,((2*B106)+(2*C106)),IF(B107=AO107,((2*B106)+(2*C106)),0)))*C108</f>
        <v>0</v>
      </c>
      <c r="AP108" s="111">
        <f>(IF(B107=AP106,((2*B106)+(2*C106)),IF(B107=AP107,((2*B106)+(2*C106)),0)))*C108</f>
        <v>0</v>
      </c>
      <c r="AQ108" s="261">
        <f>(IF(B107=AQ106,((2*B106)+(2*C106)),IF(B107=AQ107,((2*B106)+(2*C106)),0)))*C108</f>
        <v>0</v>
      </c>
      <c r="AR108" s="283">
        <f>(IF(B107=AR106,((2*B106)+(2*C106)),0))*C108</f>
        <v>0</v>
      </c>
      <c r="AS108" s="64"/>
      <c r="AT108" s="268">
        <f>E106*C108</f>
        <v>0</v>
      </c>
      <c r="AU108" s="64"/>
      <c r="AV108" s="268">
        <f>(AG108+100)*C108</f>
        <v>0</v>
      </c>
      <c r="AW108" s="64"/>
      <c r="AX108" s="111" t="str">
        <f>IF(B107=informatieblad!$A$6,informatieblad!$B$6,IF(B107=informatieblad!$A$7,informatieblad!$B$7,IF(B107=informatieblad!$A$8,informatieblad!$B$8,IF(B107=informatieblad!$A$2,informatieblad!$B$2,IF(B107=informatieblad!$A$3,informatieblad!$B$3,IF(B107=informatieblad!$A$4,informatieblad!$B$4,IF(B107=informatieblad!$A$5,informatieblad!$B$5,"")))))))</f>
        <v/>
      </c>
      <c r="AY108" s="276">
        <f>IF(AX108=AY106,(4*C108),0)</f>
        <v>0</v>
      </c>
      <c r="AZ108" s="274">
        <f>IF(AX108=AZ106,(4*C108),0)</f>
        <v>0</v>
      </c>
    </row>
    <row r="109" spans="1:52" ht="5.0999999999999996" customHeight="1" thickBot="1">
      <c r="A109" s="231"/>
      <c r="B109" s="232"/>
      <c r="C109" s="232"/>
      <c r="D109" s="232"/>
      <c r="E109" s="232"/>
      <c r="F109" s="232"/>
      <c r="G109" s="232"/>
      <c r="H109" s="232"/>
      <c r="I109" s="233"/>
      <c r="J109" s="64"/>
    </row>
    <row r="110" spans="1:52" ht="15" customHeight="1" thickBot="1">
      <c r="A110" s="494"/>
      <c r="B110" s="234"/>
      <c r="C110" s="234"/>
      <c r="D110" s="333">
        <f>(B110&gt;0)*$I$8</f>
        <v>0</v>
      </c>
      <c r="E110" s="244">
        <f>D110+AE112</f>
        <v>0</v>
      </c>
      <c r="F110" s="243">
        <f>(B110&gt;0)*$I$9</f>
        <v>0</v>
      </c>
      <c r="G110" s="221"/>
      <c r="H110" s="221"/>
      <c r="I110" s="222"/>
      <c r="J110" s="345" t="s">
        <v>20</v>
      </c>
      <c r="T110" s="97" t="s">
        <v>14</v>
      </c>
      <c r="U110" s="98" t="s">
        <v>27</v>
      </c>
      <c r="V110" s="98" t="s">
        <v>28</v>
      </c>
      <c r="W110" s="98" t="s">
        <v>27</v>
      </c>
      <c r="X110" s="98" t="s">
        <v>28</v>
      </c>
      <c r="Y110" s="98" t="s">
        <v>29</v>
      </c>
      <c r="Z110" s="66" t="s">
        <v>30</v>
      </c>
      <c r="AA110" s="153" t="s">
        <v>31</v>
      </c>
      <c r="AB110" s="153"/>
      <c r="AC110" s="153"/>
      <c r="AD110" s="97" t="s">
        <v>164</v>
      </c>
      <c r="AE110" s="98" t="s">
        <v>165</v>
      </c>
      <c r="AF110" s="245"/>
      <c r="AG110" s="98" t="s">
        <v>33</v>
      </c>
      <c r="AH110" s="98" t="s">
        <v>34</v>
      </c>
      <c r="AI110" s="98" t="s">
        <v>32</v>
      </c>
      <c r="AJ110" s="98" t="s">
        <v>32</v>
      </c>
      <c r="AK110" s="98" t="s">
        <v>50</v>
      </c>
      <c r="AL110" s="101" t="s">
        <v>36</v>
      </c>
      <c r="AO110" s="97" t="str">
        <f>informatieblad!$A$6</f>
        <v>FL20</v>
      </c>
      <c r="AP110" s="97" t="str">
        <f>informatieblad!$A$7</f>
        <v>FL30</v>
      </c>
      <c r="AQ110" s="99" t="str">
        <f>informatieblad!$A$8</f>
        <v>FL40</v>
      </c>
      <c r="AR110" s="266" t="str">
        <f>informatieblad!$A$5</f>
        <v>none</v>
      </c>
      <c r="AS110" s="64"/>
      <c r="AT110" s="266" t="s">
        <v>17</v>
      </c>
      <c r="AU110" s="64"/>
      <c r="AV110" s="266" t="s">
        <v>37</v>
      </c>
      <c r="AW110" s="64"/>
      <c r="AX110" s="269" t="s">
        <v>38</v>
      </c>
      <c r="AY110" s="272">
        <f>informatieblad!$B$3</f>
        <v>0</v>
      </c>
      <c r="AZ110" s="264">
        <f>informatieblad!$B$4</f>
        <v>0</v>
      </c>
    </row>
    <row r="111" spans="1:52" ht="15" customHeight="1">
      <c r="A111" s="475"/>
      <c r="B111" s="502" t="str">
        <f>IF($C112&gt;0,IF(MAX(B110,C110)&lt;informatieblad!$Q$4,informatieblad!$P$3,IF(MAX(B110,C110)&gt;informatieblad!$R$4,informatieblad!$P$5,informatieblad!$P$4)),"")</f>
        <v/>
      </c>
      <c r="C111" s="503"/>
      <c r="D111" s="223"/>
      <c r="E111" s="223"/>
      <c r="F111" s="334" t="str">
        <f>A110&amp;"-"&amp;informatieblad!$B$18&amp;"-"&amp;B110&amp;"-"&amp;C110&amp;"-"&amp;D110&amp;"-"&amp;E110&amp;"-"&amp;F110&amp;"-"&amp;B111&amp;"-"&amp;F112</f>
        <v>-RctG---0-0-0--Options None</v>
      </c>
      <c r="G111" s="235"/>
      <c r="H111" s="235"/>
      <c r="I111" s="236"/>
      <c r="J111" s="83"/>
      <c r="T111" s="103">
        <f>A110</f>
        <v>0</v>
      </c>
      <c r="U111" s="104" t="s">
        <v>39</v>
      </c>
      <c r="V111" s="104" t="s">
        <v>39</v>
      </c>
      <c r="W111" s="104" t="s">
        <v>40</v>
      </c>
      <c r="X111" s="104" t="s">
        <v>40</v>
      </c>
      <c r="Y111" s="104" t="s">
        <v>40</v>
      </c>
      <c r="Z111" s="105"/>
      <c r="AA111" s="155" t="s">
        <v>27</v>
      </c>
      <c r="AB111" s="155" t="s">
        <v>40</v>
      </c>
      <c r="AC111" s="155" t="s">
        <v>41</v>
      </c>
      <c r="AD111" s="246" t="s">
        <v>166</v>
      </c>
      <c r="AE111" s="104" t="s">
        <v>167</v>
      </c>
      <c r="AF111" s="247"/>
      <c r="AG111" s="104" t="s">
        <v>44</v>
      </c>
      <c r="AH111" s="104"/>
      <c r="AI111" s="104" t="s">
        <v>40</v>
      </c>
      <c r="AJ111" s="104" t="s">
        <v>41</v>
      </c>
      <c r="AK111" s="108"/>
      <c r="AL111" s="109"/>
      <c r="AO111" s="262" t="str">
        <f>informatieblad!$A$2</f>
        <v>FL20 loose</v>
      </c>
      <c r="AP111" s="262" t="str">
        <f>informatieblad!$A$3</f>
        <v>FL30 loose</v>
      </c>
      <c r="AQ111" s="263" t="str">
        <f>informatieblad!$A$4</f>
        <v>FL40 loose</v>
      </c>
      <c r="AR111" s="282"/>
      <c r="AS111" s="64"/>
      <c r="AT111" s="267"/>
      <c r="AU111" s="64"/>
      <c r="AV111" s="267"/>
      <c r="AW111" s="64"/>
      <c r="AX111" s="265" t="s">
        <v>47</v>
      </c>
      <c r="AY111" s="83" t="s">
        <v>23</v>
      </c>
      <c r="AZ111" s="273" t="s">
        <v>23</v>
      </c>
    </row>
    <row r="112" spans="1:52" ht="15.75" customHeight="1" thickBot="1">
      <c r="A112" s="495"/>
      <c r="B112" s="227" t="s">
        <v>23</v>
      </c>
      <c r="C112" s="237"/>
      <c r="D112" s="229">
        <f>C112*V112</f>
        <v>0</v>
      </c>
      <c r="E112" s="230" t="s">
        <v>24</v>
      </c>
      <c r="F112" s="498" t="s">
        <v>25</v>
      </c>
      <c r="G112" s="452"/>
      <c r="H112" s="452"/>
      <c r="I112" s="453"/>
      <c r="J112" s="176"/>
      <c r="T112" s="111"/>
      <c r="U112" s="112">
        <f>((((2*(B110+C110))*D110)+(B110*(E110-D110))+(C110*(E110-D110))+(2*(B110*AD112)))/1000000)</f>
        <v>0</v>
      </c>
      <c r="V112" s="112">
        <f>((IF(U112&lt;=informatieblad!$I$18,informatieblad!$I$18,IF(U112&gt;=informatieblad!$I$18,U112))))</f>
        <v>0.5</v>
      </c>
      <c r="W112" s="112">
        <f>((((2*(B110+C110))*D110)+(B110*(E110-D110))+(C110*(E110-D110))+(2*(B110*AD112)))/1000000)</f>
        <v>0</v>
      </c>
      <c r="X112" s="112">
        <f>((IF(W112&lt;=informatieblad!$H$18,informatieblad!$H$18,IF(W112&gt;=informatieblad!$H$18,W112))))</f>
        <v>0</v>
      </c>
      <c r="Y112" s="113">
        <f>((X112*AI112)+(X112*AB112))*C112</f>
        <v>0</v>
      </c>
      <c r="Z112" s="114">
        <f>((V112*AJ112)+(V112*AC112))*C112</f>
        <v>0</v>
      </c>
      <c r="AA112" s="115" t="str">
        <f>F112</f>
        <v>Options None</v>
      </c>
      <c r="AB112" s="115">
        <f>VLOOKUP(F112,informatieblad!$A$37:$D$41,2,FALSE)</f>
        <v>0</v>
      </c>
      <c r="AC112" s="115">
        <f>VLOOKUP(F112,informatieblad!$A$37:$D$41,4,FALSE)</f>
        <v>0</v>
      </c>
      <c r="AD112" s="159">
        <f>(SQRT((((TAN(F110*(PI()/180)))*C110)^2)+(C110^2)))</f>
        <v>0</v>
      </c>
      <c r="AE112" s="119">
        <f>ROUND(((TAN(F110*(PI()/180)))*C110),0)</f>
        <v>0</v>
      </c>
      <c r="AF112" s="119"/>
      <c r="AG112" s="119">
        <f>(MAX(B110:C110))</f>
        <v>0</v>
      </c>
      <c r="AH112" s="119">
        <f>LOOKUP(AG112,informatieblad!$C$27:$C$32,informatieblad!$A$27:$A$32)</f>
        <v>0.5</v>
      </c>
      <c r="AI112" s="118">
        <f>VLOOKUP(AH112,informatieblad!$A$27:$M$32,6,FALSE)</f>
        <v>0</v>
      </c>
      <c r="AJ112" s="118">
        <f>VLOOKUP(AH112,informatieblad!$A$27:$M$32,8,FALSE)</f>
        <v>45.1248</v>
      </c>
      <c r="AK112" s="120">
        <f>VLOOKUP(AH112,informatieblad!$A$27:$M$32,13,FALSE)</f>
        <v>4</v>
      </c>
      <c r="AL112" s="121">
        <f>ROUND((AK112*W112),1)</f>
        <v>0</v>
      </c>
      <c r="AO112" s="111">
        <f>(IF(B111=AO110,((2*B110)+(2*C110)),IF(B111=AO111,((2*B110)+(2*C110)),0)))*C112</f>
        <v>0</v>
      </c>
      <c r="AP112" s="111">
        <f>(IF(B111=AP110,((2*B110)+(2*C110)),IF(B111=AP111,((2*B110)+(2*C110)),0)))*C112</f>
        <v>0</v>
      </c>
      <c r="AQ112" s="261">
        <f>(IF(B111=AQ110,((2*B110)+(2*C110)),IF(B111=AQ111,((2*B110)+(2*C110)),0)))*C112</f>
        <v>0</v>
      </c>
      <c r="AR112" s="283">
        <f>(IF(B111=AR110,((2*B110)+(2*C110)),0))*C112</f>
        <v>0</v>
      </c>
      <c r="AS112" s="64"/>
      <c r="AT112" s="268">
        <f>E110*C112</f>
        <v>0</v>
      </c>
      <c r="AU112" s="64"/>
      <c r="AV112" s="268">
        <f>(AG112+100)*C112</f>
        <v>0</v>
      </c>
      <c r="AW112" s="64"/>
      <c r="AX112" s="111" t="str">
        <f>IF(B111=informatieblad!$A$6,informatieblad!$B$6,IF(B111=informatieblad!$A$7,informatieblad!$B$7,IF(B111=informatieblad!$A$8,informatieblad!$B$8,IF(B111=informatieblad!$A$2,informatieblad!$B$2,IF(B111=informatieblad!$A$3,informatieblad!$B$3,IF(B111=informatieblad!$A$4,informatieblad!$B$4,IF(B111=informatieblad!$A$5,informatieblad!$B$5,"")))))))</f>
        <v/>
      </c>
      <c r="AY112" s="276">
        <f>IF(AX112=AY110,(4*C112),0)</f>
        <v>0</v>
      </c>
      <c r="AZ112" s="274">
        <f>IF(AX112=AZ110,(4*C112),0)</f>
        <v>0</v>
      </c>
    </row>
    <row r="113" spans="1:52" ht="5.0999999999999996" customHeight="1" thickBot="1">
      <c r="A113" s="231"/>
      <c r="B113" s="232"/>
      <c r="C113" s="232"/>
      <c r="D113" s="232"/>
      <c r="E113" s="232"/>
      <c r="F113" s="232"/>
      <c r="G113" s="232"/>
      <c r="H113" s="232"/>
      <c r="I113" s="233"/>
      <c r="J113" s="64"/>
    </row>
    <row r="114" spans="1:52" ht="15" customHeight="1" thickBot="1">
      <c r="A114" s="494"/>
      <c r="B114" s="234"/>
      <c r="C114" s="234"/>
      <c r="D114" s="333">
        <f>(B114&gt;0)*$I$8</f>
        <v>0</v>
      </c>
      <c r="E114" s="244">
        <f>D114+AE116</f>
        <v>0</v>
      </c>
      <c r="F114" s="243">
        <f>(B114&gt;0)*$I$9</f>
        <v>0</v>
      </c>
      <c r="G114" s="221"/>
      <c r="H114" s="221"/>
      <c r="I114" s="222"/>
      <c r="J114" s="345" t="s">
        <v>20</v>
      </c>
      <c r="T114" s="97" t="s">
        <v>14</v>
      </c>
      <c r="U114" s="98" t="s">
        <v>27</v>
      </c>
      <c r="V114" s="98" t="s">
        <v>28</v>
      </c>
      <c r="W114" s="98" t="s">
        <v>27</v>
      </c>
      <c r="X114" s="98" t="s">
        <v>28</v>
      </c>
      <c r="Y114" s="98" t="s">
        <v>29</v>
      </c>
      <c r="Z114" s="66" t="s">
        <v>30</v>
      </c>
      <c r="AA114" s="153" t="s">
        <v>31</v>
      </c>
      <c r="AB114" s="153"/>
      <c r="AC114" s="153"/>
      <c r="AD114" s="97" t="s">
        <v>164</v>
      </c>
      <c r="AE114" s="98" t="s">
        <v>165</v>
      </c>
      <c r="AF114" s="245"/>
      <c r="AG114" s="98" t="s">
        <v>33</v>
      </c>
      <c r="AH114" s="98" t="s">
        <v>34</v>
      </c>
      <c r="AI114" s="98" t="s">
        <v>32</v>
      </c>
      <c r="AJ114" s="98" t="s">
        <v>32</v>
      </c>
      <c r="AK114" s="98" t="s">
        <v>50</v>
      </c>
      <c r="AL114" s="101" t="s">
        <v>36</v>
      </c>
      <c r="AO114" s="97" t="str">
        <f>informatieblad!$A$6</f>
        <v>FL20</v>
      </c>
      <c r="AP114" s="97" t="str">
        <f>informatieblad!$A$7</f>
        <v>FL30</v>
      </c>
      <c r="AQ114" s="99" t="str">
        <f>informatieblad!$A$8</f>
        <v>FL40</v>
      </c>
      <c r="AR114" s="266" t="str">
        <f>informatieblad!$A$5</f>
        <v>none</v>
      </c>
      <c r="AS114" s="64"/>
      <c r="AT114" s="266" t="s">
        <v>17</v>
      </c>
      <c r="AU114" s="64"/>
      <c r="AV114" s="266" t="s">
        <v>37</v>
      </c>
      <c r="AW114" s="64"/>
      <c r="AX114" s="269" t="s">
        <v>38</v>
      </c>
      <c r="AY114" s="272">
        <f>informatieblad!$B$3</f>
        <v>0</v>
      </c>
      <c r="AZ114" s="264">
        <f>informatieblad!$B$4</f>
        <v>0</v>
      </c>
    </row>
    <row r="115" spans="1:52" ht="15" customHeight="1">
      <c r="A115" s="475"/>
      <c r="B115" s="502" t="str">
        <f>IF($C116&gt;0,IF(MAX(B114,C114)&lt;informatieblad!$Q$4,informatieblad!$P$3,IF(MAX(B114,C114)&gt;informatieblad!$R$4,informatieblad!$P$5,informatieblad!$P$4)),"")</f>
        <v/>
      </c>
      <c r="C115" s="503"/>
      <c r="D115" s="223"/>
      <c r="E115" s="223"/>
      <c r="F115" s="334" t="str">
        <f>A114&amp;"-"&amp;informatieblad!$B$18&amp;"-"&amp;B114&amp;"-"&amp;C114&amp;"-"&amp;D114&amp;"-"&amp;E114&amp;"-"&amp;F114&amp;"-"&amp;B115&amp;"-"&amp;F116</f>
        <v>-RctG---0-0-0--Options None</v>
      </c>
      <c r="G115" s="235"/>
      <c r="H115" s="235"/>
      <c r="I115" s="236"/>
      <c r="J115" s="83"/>
      <c r="T115" s="103">
        <f>A114</f>
        <v>0</v>
      </c>
      <c r="U115" s="104" t="s">
        <v>39</v>
      </c>
      <c r="V115" s="104" t="s">
        <v>39</v>
      </c>
      <c r="W115" s="104" t="s">
        <v>40</v>
      </c>
      <c r="X115" s="104" t="s">
        <v>40</v>
      </c>
      <c r="Y115" s="104" t="s">
        <v>40</v>
      </c>
      <c r="Z115" s="105"/>
      <c r="AA115" s="155" t="s">
        <v>27</v>
      </c>
      <c r="AB115" s="155" t="s">
        <v>40</v>
      </c>
      <c r="AC115" s="155" t="s">
        <v>41</v>
      </c>
      <c r="AD115" s="246" t="s">
        <v>166</v>
      </c>
      <c r="AE115" s="104" t="s">
        <v>167</v>
      </c>
      <c r="AF115" s="247"/>
      <c r="AG115" s="104" t="s">
        <v>44</v>
      </c>
      <c r="AH115" s="104"/>
      <c r="AI115" s="104" t="s">
        <v>40</v>
      </c>
      <c r="AJ115" s="104" t="s">
        <v>41</v>
      </c>
      <c r="AK115" s="108"/>
      <c r="AL115" s="109"/>
      <c r="AO115" s="262" t="str">
        <f>informatieblad!$A$2</f>
        <v>FL20 loose</v>
      </c>
      <c r="AP115" s="262" t="str">
        <f>informatieblad!$A$3</f>
        <v>FL30 loose</v>
      </c>
      <c r="AQ115" s="263" t="str">
        <f>informatieblad!$A$4</f>
        <v>FL40 loose</v>
      </c>
      <c r="AR115" s="282"/>
      <c r="AS115" s="64"/>
      <c r="AT115" s="267"/>
      <c r="AU115" s="64"/>
      <c r="AV115" s="267"/>
      <c r="AW115" s="64"/>
      <c r="AX115" s="265" t="s">
        <v>47</v>
      </c>
      <c r="AY115" s="83" t="s">
        <v>23</v>
      </c>
      <c r="AZ115" s="273" t="s">
        <v>23</v>
      </c>
    </row>
    <row r="116" spans="1:52" ht="15.75" customHeight="1" thickBot="1">
      <c r="A116" s="495"/>
      <c r="B116" s="227" t="s">
        <v>23</v>
      </c>
      <c r="C116" s="237"/>
      <c r="D116" s="229">
        <f>C116*V116</f>
        <v>0</v>
      </c>
      <c r="E116" s="230" t="s">
        <v>24</v>
      </c>
      <c r="F116" s="498" t="s">
        <v>25</v>
      </c>
      <c r="G116" s="452"/>
      <c r="H116" s="452"/>
      <c r="I116" s="453"/>
      <c r="J116" s="176"/>
      <c r="T116" s="111"/>
      <c r="U116" s="112">
        <f>((((2*(B114+C114))*D114)+(B114*(E114-D114))+(C114*(E114-D114))+(2*(B114*AD116)))/1000000)</f>
        <v>0</v>
      </c>
      <c r="V116" s="112">
        <f>((IF(U116&lt;=informatieblad!$I$18,informatieblad!$I$18,IF(U116&gt;=informatieblad!$I$18,U116))))</f>
        <v>0.5</v>
      </c>
      <c r="W116" s="112">
        <f>((((2*(B114+C114))*D114)+(B114*(E114-D114))+(C114*(E114-D114))+(2*(B114*AD116)))/1000000)</f>
        <v>0</v>
      </c>
      <c r="X116" s="112">
        <f>((IF(W116&lt;=informatieblad!$H$18,informatieblad!$H$18,IF(W116&gt;=informatieblad!$H$18,W116))))</f>
        <v>0</v>
      </c>
      <c r="Y116" s="113">
        <f>((X116*AI116)+(X116*AB116))*C116</f>
        <v>0</v>
      </c>
      <c r="Z116" s="114">
        <f>((V116*AJ116)+(V116*AC116))*C116</f>
        <v>0</v>
      </c>
      <c r="AA116" s="115" t="str">
        <f>F116</f>
        <v>Options None</v>
      </c>
      <c r="AB116" s="115">
        <f>VLOOKUP(F116,informatieblad!$A$37:$D$41,2,FALSE)</f>
        <v>0</v>
      </c>
      <c r="AC116" s="115">
        <f>VLOOKUP(F116,informatieblad!$A$37:$D$41,4,FALSE)</f>
        <v>0</v>
      </c>
      <c r="AD116" s="159">
        <f>(SQRT((((TAN(F114*(PI()/180)))*C114)^2)+(C114^2)))</f>
        <v>0</v>
      </c>
      <c r="AE116" s="119">
        <f>ROUND(((TAN(F114*(PI()/180)))*C114),0)</f>
        <v>0</v>
      </c>
      <c r="AF116" s="119"/>
      <c r="AG116" s="119">
        <f>(MAX(B114:C114))</f>
        <v>0</v>
      </c>
      <c r="AH116" s="119">
        <f>LOOKUP(AG116,informatieblad!$C$27:$C$32,informatieblad!$A$27:$A$32)</f>
        <v>0.5</v>
      </c>
      <c r="AI116" s="118">
        <f>VLOOKUP(AH116,informatieblad!$A$27:$M$32,6,FALSE)</f>
        <v>0</v>
      </c>
      <c r="AJ116" s="118">
        <f>VLOOKUP(AH116,informatieblad!$A$27:$M$32,8,FALSE)</f>
        <v>45.1248</v>
      </c>
      <c r="AK116" s="120">
        <f>VLOOKUP(AH116,informatieblad!$A$27:$M$32,13,FALSE)</f>
        <v>4</v>
      </c>
      <c r="AL116" s="121">
        <f>ROUND((AK116*W116),1)</f>
        <v>0</v>
      </c>
      <c r="AO116" s="111">
        <f>(IF(B115=AO114,((2*B114)+(2*C114)),IF(B115=AO115,((2*B114)+(2*C114)),0)))*C116</f>
        <v>0</v>
      </c>
      <c r="AP116" s="111">
        <f>(IF(B115=AP114,((2*B114)+(2*C114)),IF(B115=AP115,((2*B114)+(2*C114)),0)))*C116</f>
        <v>0</v>
      </c>
      <c r="AQ116" s="261">
        <f>(IF(B115=AQ114,((2*B114)+(2*C114)),IF(B115=AQ115,((2*B114)+(2*C114)),0)))*C116</f>
        <v>0</v>
      </c>
      <c r="AR116" s="283">
        <f>(IF(B115=AR114,((2*B114)+(2*C114)),0))*C116</f>
        <v>0</v>
      </c>
      <c r="AS116" s="64"/>
      <c r="AT116" s="268">
        <f>E114*C116</f>
        <v>0</v>
      </c>
      <c r="AU116" s="64"/>
      <c r="AV116" s="268">
        <f>(AG116+100)*C116</f>
        <v>0</v>
      </c>
      <c r="AW116" s="64"/>
      <c r="AX116" s="111" t="str">
        <f>IF(B115=informatieblad!$A$6,informatieblad!$B$6,IF(B115=informatieblad!$A$7,informatieblad!$B$7,IF(B115=informatieblad!$A$8,informatieblad!$B$8,IF(B115=informatieblad!$A$2,informatieblad!$B$2,IF(B115=informatieblad!$A$3,informatieblad!$B$3,IF(B115=informatieblad!$A$4,informatieblad!$B$4,IF(B115=informatieblad!$A$5,informatieblad!$B$5,"")))))))</f>
        <v/>
      </c>
      <c r="AY116" s="276">
        <f>IF(AX116=AY114,(4*C116),0)</f>
        <v>0</v>
      </c>
      <c r="AZ116" s="274">
        <f>IF(AX116=AZ114,(4*C116),0)</f>
        <v>0</v>
      </c>
    </row>
    <row r="117" spans="1:52" ht="5.0999999999999996" customHeight="1" thickBot="1">
      <c r="A117" s="231"/>
      <c r="B117" s="232"/>
      <c r="C117" s="232"/>
      <c r="D117" s="232"/>
      <c r="E117" s="232"/>
      <c r="F117" s="232"/>
      <c r="G117" s="232"/>
      <c r="H117" s="232"/>
      <c r="I117" s="233"/>
      <c r="J117" s="64"/>
    </row>
    <row r="118" spans="1:52" ht="15" customHeight="1" thickBot="1">
      <c r="A118" s="494"/>
      <c r="B118" s="234"/>
      <c r="C118" s="234"/>
      <c r="D118" s="333">
        <f>(B118&gt;0)*$I$8</f>
        <v>0</v>
      </c>
      <c r="E118" s="244">
        <f>D118+AE120</f>
        <v>0</v>
      </c>
      <c r="F118" s="243">
        <f>(B118&gt;0)*$I$9</f>
        <v>0</v>
      </c>
      <c r="G118" s="221"/>
      <c r="H118" s="221"/>
      <c r="I118" s="222"/>
      <c r="J118" s="345" t="s">
        <v>20</v>
      </c>
      <c r="T118" s="97" t="s">
        <v>14</v>
      </c>
      <c r="U118" s="98" t="s">
        <v>27</v>
      </c>
      <c r="V118" s="98" t="s">
        <v>28</v>
      </c>
      <c r="W118" s="98" t="s">
        <v>27</v>
      </c>
      <c r="X118" s="98" t="s">
        <v>28</v>
      </c>
      <c r="Y118" s="98" t="s">
        <v>29</v>
      </c>
      <c r="Z118" s="66" t="s">
        <v>30</v>
      </c>
      <c r="AA118" s="153" t="s">
        <v>31</v>
      </c>
      <c r="AB118" s="153"/>
      <c r="AC118" s="153"/>
      <c r="AD118" s="97" t="s">
        <v>164</v>
      </c>
      <c r="AE118" s="98" t="s">
        <v>165</v>
      </c>
      <c r="AF118" s="245"/>
      <c r="AG118" s="98" t="s">
        <v>33</v>
      </c>
      <c r="AH118" s="98" t="s">
        <v>34</v>
      </c>
      <c r="AI118" s="98" t="s">
        <v>32</v>
      </c>
      <c r="AJ118" s="98" t="s">
        <v>32</v>
      </c>
      <c r="AK118" s="98" t="s">
        <v>50</v>
      </c>
      <c r="AL118" s="101" t="s">
        <v>36</v>
      </c>
      <c r="AO118" s="97" t="str">
        <f>informatieblad!$A$6</f>
        <v>FL20</v>
      </c>
      <c r="AP118" s="97" t="str">
        <f>informatieblad!$A$7</f>
        <v>FL30</v>
      </c>
      <c r="AQ118" s="99" t="str">
        <f>informatieblad!$A$8</f>
        <v>FL40</v>
      </c>
      <c r="AR118" s="266" t="str">
        <f>informatieblad!$A$5</f>
        <v>none</v>
      </c>
      <c r="AS118" s="64"/>
      <c r="AT118" s="266" t="s">
        <v>17</v>
      </c>
      <c r="AU118" s="64"/>
      <c r="AV118" s="266" t="s">
        <v>37</v>
      </c>
      <c r="AW118" s="64"/>
      <c r="AX118" s="269" t="s">
        <v>38</v>
      </c>
      <c r="AY118" s="272">
        <f>informatieblad!$B$3</f>
        <v>0</v>
      </c>
      <c r="AZ118" s="264">
        <f>informatieblad!$B$4</f>
        <v>0</v>
      </c>
    </row>
    <row r="119" spans="1:52" ht="15" customHeight="1">
      <c r="A119" s="475"/>
      <c r="B119" s="502" t="str">
        <f>IF($C120&gt;0,IF(MAX(B118,C118)&lt;informatieblad!$Q$4,informatieblad!$P$3,IF(MAX(B118,C118)&gt;informatieblad!$R$4,informatieblad!$P$5,informatieblad!$P$4)),"")</f>
        <v/>
      </c>
      <c r="C119" s="503"/>
      <c r="D119" s="223"/>
      <c r="E119" s="223"/>
      <c r="F119" s="334" t="str">
        <f>A118&amp;"-"&amp;informatieblad!$B$18&amp;"-"&amp;B118&amp;"-"&amp;C118&amp;"-"&amp;D118&amp;"-"&amp;E118&amp;"-"&amp;F118&amp;"-"&amp;B119&amp;"-"&amp;F120</f>
        <v>-RctG---0-0-0--Options None</v>
      </c>
      <c r="G119" s="235"/>
      <c r="H119" s="235"/>
      <c r="I119" s="236"/>
      <c r="J119" s="83"/>
      <c r="T119" s="103">
        <f>A118</f>
        <v>0</v>
      </c>
      <c r="U119" s="104" t="s">
        <v>39</v>
      </c>
      <c r="V119" s="104" t="s">
        <v>39</v>
      </c>
      <c r="W119" s="104" t="s">
        <v>40</v>
      </c>
      <c r="X119" s="104" t="s">
        <v>40</v>
      </c>
      <c r="Y119" s="104" t="s">
        <v>40</v>
      </c>
      <c r="Z119" s="105"/>
      <c r="AA119" s="155" t="s">
        <v>27</v>
      </c>
      <c r="AB119" s="155" t="s">
        <v>40</v>
      </c>
      <c r="AC119" s="155" t="s">
        <v>41</v>
      </c>
      <c r="AD119" s="246" t="s">
        <v>166</v>
      </c>
      <c r="AE119" s="104" t="s">
        <v>167</v>
      </c>
      <c r="AF119" s="247"/>
      <c r="AG119" s="104" t="s">
        <v>44</v>
      </c>
      <c r="AH119" s="104"/>
      <c r="AI119" s="104" t="s">
        <v>40</v>
      </c>
      <c r="AJ119" s="104" t="s">
        <v>41</v>
      </c>
      <c r="AK119" s="108"/>
      <c r="AL119" s="109"/>
      <c r="AO119" s="262" t="str">
        <f>informatieblad!$A$2</f>
        <v>FL20 loose</v>
      </c>
      <c r="AP119" s="262" t="str">
        <f>informatieblad!$A$3</f>
        <v>FL30 loose</v>
      </c>
      <c r="AQ119" s="263" t="str">
        <f>informatieblad!$A$4</f>
        <v>FL40 loose</v>
      </c>
      <c r="AR119" s="282"/>
      <c r="AS119" s="64"/>
      <c r="AT119" s="267"/>
      <c r="AU119" s="64"/>
      <c r="AV119" s="267"/>
      <c r="AW119" s="64"/>
      <c r="AX119" s="265" t="s">
        <v>47</v>
      </c>
      <c r="AY119" s="83" t="s">
        <v>23</v>
      </c>
      <c r="AZ119" s="273" t="s">
        <v>23</v>
      </c>
    </row>
    <row r="120" spans="1:52" ht="15.75" customHeight="1" thickBot="1">
      <c r="A120" s="495"/>
      <c r="B120" s="227" t="s">
        <v>23</v>
      </c>
      <c r="C120" s="237"/>
      <c r="D120" s="229">
        <f>C120*V120</f>
        <v>0</v>
      </c>
      <c r="E120" s="230" t="s">
        <v>24</v>
      </c>
      <c r="F120" s="498" t="s">
        <v>25</v>
      </c>
      <c r="G120" s="452"/>
      <c r="H120" s="452"/>
      <c r="I120" s="453"/>
      <c r="J120" s="176"/>
      <c r="T120" s="111"/>
      <c r="U120" s="112">
        <f>((((2*(B118+C118))*D118)+(B118*(E118-D118))+(C118*(E118-D118))+(2*(B118*AD120)))/1000000)</f>
        <v>0</v>
      </c>
      <c r="V120" s="112">
        <f>((IF(U120&lt;=informatieblad!$I$18,informatieblad!$I$18,IF(U120&gt;=informatieblad!$I$18,U120))))</f>
        <v>0.5</v>
      </c>
      <c r="W120" s="112">
        <f>((((2*(B118+C118))*D118)+(B118*(E118-D118))+(C118*(E118-D118))+(2*(B118*AD120)))/1000000)</f>
        <v>0</v>
      </c>
      <c r="X120" s="112">
        <f>((IF(W120&lt;=informatieblad!$H$18,informatieblad!$H$18,IF(W120&gt;=informatieblad!$H$18,W120))))</f>
        <v>0</v>
      </c>
      <c r="Y120" s="113">
        <f>((X120*AI120)+(X120*AB120))*C120</f>
        <v>0</v>
      </c>
      <c r="Z120" s="114">
        <f>((V120*AJ120)+(V120*AC120))*C120</f>
        <v>0</v>
      </c>
      <c r="AA120" s="115" t="str">
        <f>F120</f>
        <v>Options None</v>
      </c>
      <c r="AB120" s="115">
        <f>VLOOKUP(F120,informatieblad!$A$37:$D$41,2,FALSE)</f>
        <v>0</v>
      </c>
      <c r="AC120" s="115">
        <f>VLOOKUP(F120,informatieblad!$A$37:$D$41,4,FALSE)</f>
        <v>0</v>
      </c>
      <c r="AD120" s="159">
        <f>(SQRT((((TAN(F118*(PI()/180)))*C118)^2)+(C118^2)))</f>
        <v>0</v>
      </c>
      <c r="AE120" s="119">
        <f>ROUND(((TAN(F118*(PI()/180)))*C118),0)</f>
        <v>0</v>
      </c>
      <c r="AF120" s="119"/>
      <c r="AG120" s="119">
        <f>(MAX(B118:C118))</f>
        <v>0</v>
      </c>
      <c r="AH120" s="119">
        <f>LOOKUP(AG120,informatieblad!$C$27:$C$32,informatieblad!$A$27:$A$32)</f>
        <v>0.5</v>
      </c>
      <c r="AI120" s="118">
        <f>VLOOKUP(AH120,informatieblad!$A$27:$M$32,6,FALSE)</f>
        <v>0</v>
      </c>
      <c r="AJ120" s="118">
        <f>VLOOKUP(AH120,informatieblad!$A$27:$M$32,8,FALSE)</f>
        <v>45.1248</v>
      </c>
      <c r="AK120" s="120">
        <f>VLOOKUP(AH120,informatieblad!$A$27:$M$32,13,FALSE)</f>
        <v>4</v>
      </c>
      <c r="AL120" s="121">
        <f>ROUND((AK120*W120),1)</f>
        <v>0</v>
      </c>
      <c r="AO120" s="111">
        <f>(IF(B119=AO118,((2*B118)+(2*C118)),IF(B119=AO119,((2*B118)+(2*C118)),0)))*C120</f>
        <v>0</v>
      </c>
      <c r="AP120" s="111">
        <f>(IF(B119=AP118,((2*B118)+(2*C118)),IF(B119=AP119,((2*B118)+(2*C118)),0)))*C120</f>
        <v>0</v>
      </c>
      <c r="AQ120" s="261">
        <f>(IF(B119=AQ118,((2*B118)+(2*C118)),IF(B119=AQ119,((2*B118)+(2*C118)),0)))*C120</f>
        <v>0</v>
      </c>
      <c r="AR120" s="283">
        <f>(IF(B119=AR118,((2*B118)+(2*C118)),0))*C120</f>
        <v>0</v>
      </c>
      <c r="AS120" s="64"/>
      <c r="AT120" s="268">
        <f>E118*C120</f>
        <v>0</v>
      </c>
      <c r="AU120" s="64"/>
      <c r="AV120" s="268">
        <f>(AG120+100)*C120</f>
        <v>0</v>
      </c>
      <c r="AW120" s="64"/>
      <c r="AX120" s="111" t="str">
        <f>IF(B119=informatieblad!$A$6,informatieblad!$B$6,IF(B119=informatieblad!$A$7,informatieblad!$B$7,IF(B119=informatieblad!$A$8,informatieblad!$B$8,IF(B119=informatieblad!$A$2,informatieblad!$B$2,IF(B119=informatieblad!$A$3,informatieblad!$B$3,IF(B119=informatieblad!$A$4,informatieblad!$B$4,IF(B119=informatieblad!$A$5,informatieblad!$B$5,"")))))))</f>
        <v/>
      </c>
      <c r="AY120" s="276">
        <f>IF(AX120=AY118,(4*C120),0)</f>
        <v>0</v>
      </c>
      <c r="AZ120" s="274">
        <f>IF(AX120=AZ118,(4*C120),0)</f>
        <v>0</v>
      </c>
    </row>
    <row r="121" spans="1:52" ht="5.0999999999999996" customHeight="1" thickBot="1">
      <c r="A121" s="231"/>
      <c r="B121" s="232"/>
      <c r="C121" s="232"/>
      <c r="D121" s="232"/>
      <c r="E121" s="232"/>
      <c r="F121" s="232"/>
      <c r="G121" s="232"/>
      <c r="H121" s="232"/>
      <c r="I121" s="233"/>
      <c r="J121" s="64"/>
    </row>
    <row r="122" spans="1:52" ht="15" customHeight="1" thickBot="1">
      <c r="A122" s="494"/>
      <c r="B122" s="234"/>
      <c r="C122" s="234"/>
      <c r="D122" s="333">
        <f>(B122&gt;0)*$I$8</f>
        <v>0</v>
      </c>
      <c r="E122" s="244">
        <f>D122+AE124</f>
        <v>0</v>
      </c>
      <c r="F122" s="243">
        <f>(B122&gt;0)*$I$9</f>
        <v>0</v>
      </c>
      <c r="G122" s="221"/>
      <c r="H122" s="221"/>
      <c r="I122" s="222"/>
      <c r="J122" s="345" t="s">
        <v>20</v>
      </c>
      <c r="T122" s="97" t="s">
        <v>14</v>
      </c>
      <c r="U122" s="98" t="s">
        <v>27</v>
      </c>
      <c r="V122" s="98" t="s">
        <v>28</v>
      </c>
      <c r="W122" s="98" t="s">
        <v>27</v>
      </c>
      <c r="X122" s="98" t="s">
        <v>28</v>
      </c>
      <c r="Y122" s="98" t="s">
        <v>29</v>
      </c>
      <c r="Z122" s="66" t="s">
        <v>30</v>
      </c>
      <c r="AA122" s="153" t="s">
        <v>31</v>
      </c>
      <c r="AB122" s="153"/>
      <c r="AC122" s="153"/>
      <c r="AD122" s="97" t="s">
        <v>164</v>
      </c>
      <c r="AE122" s="98" t="s">
        <v>165</v>
      </c>
      <c r="AF122" s="245"/>
      <c r="AG122" s="98" t="s">
        <v>33</v>
      </c>
      <c r="AH122" s="98" t="s">
        <v>34</v>
      </c>
      <c r="AI122" s="98" t="s">
        <v>32</v>
      </c>
      <c r="AJ122" s="98" t="s">
        <v>32</v>
      </c>
      <c r="AK122" s="98" t="s">
        <v>51</v>
      </c>
      <c r="AL122" s="101" t="s">
        <v>36</v>
      </c>
      <c r="AO122" s="97" t="str">
        <f>informatieblad!$A$6</f>
        <v>FL20</v>
      </c>
      <c r="AP122" s="97" t="str">
        <f>informatieblad!$A$7</f>
        <v>FL30</v>
      </c>
      <c r="AQ122" s="99" t="str">
        <f>informatieblad!$A$8</f>
        <v>FL40</v>
      </c>
      <c r="AR122" s="266" t="str">
        <f>informatieblad!$A$5</f>
        <v>none</v>
      </c>
      <c r="AS122" s="64"/>
      <c r="AT122" s="266" t="s">
        <v>17</v>
      </c>
      <c r="AU122" s="64"/>
      <c r="AV122" s="266" t="s">
        <v>37</v>
      </c>
      <c r="AW122" s="64"/>
      <c r="AX122" s="269" t="s">
        <v>38</v>
      </c>
      <c r="AY122" s="272">
        <f>informatieblad!$B$3</f>
        <v>0</v>
      </c>
      <c r="AZ122" s="264">
        <f>informatieblad!$B$4</f>
        <v>0</v>
      </c>
    </row>
    <row r="123" spans="1:52" ht="15" customHeight="1">
      <c r="A123" s="475"/>
      <c r="B123" s="502" t="str">
        <f>IF($C124&gt;0,IF(MAX(B122,C122)&lt;informatieblad!$Q$4,informatieblad!$P$3,IF(MAX(B122,C122)&gt;informatieblad!$R$4,informatieblad!$P$5,informatieblad!$P$4)),"")</f>
        <v/>
      </c>
      <c r="C123" s="503"/>
      <c r="D123" s="223"/>
      <c r="E123" s="223"/>
      <c r="F123" s="334" t="str">
        <f>A122&amp;"-"&amp;informatieblad!$B$18&amp;"-"&amp;B122&amp;"-"&amp;C122&amp;"-"&amp;D122&amp;"-"&amp;E122&amp;"-"&amp;F122&amp;"-"&amp;B123&amp;"-"&amp;F124</f>
        <v>-RctG---0-0-0--Options None</v>
      </c>
      <c r="G123" s="235"/>
      <c r="H123" s="235"/>
      <c r="I123" s="236"/>
      <c r="J123" s="83"/>
      <c r="T123" s="103">
        <f>A122</f>
        <v>0</v>
      </c>
      <c r="U123" s="104" t="s">
        <v>39</v>
      </c>
      <c r="V123" s="104" t="s">
        <v>39</v>
      </c>
      <c r="W123" s="104" t="s">
        <v>40</v>
      </c>
      <c r="X123" s="104" t="s">
        <v>40</v>
      </c>
      <c r="Y123" s="104" t="s">
        <v>40</v>
      </c>
      <c r="Z123" s="105"/>
      <c r="AA123" s="155" t="s">
        <v>27</v>
      </c>
      <c r="AB123" s="155" t="s">
        <v>40</v>
      </c>
      <c r="AC123" s="155" t="s">
        <v>41</v>
      </c>
      <c r="AD123" s="246" t="s">
        <v>166</v>
      </c>
      <c r="AE123" s="104" t="s">
        <v>167</v>
      </c>
      <c r="AF123" s="247"/>
      <c r="AG123" s="104" t="s">
        <v>44</v>
      </c>
      <c r="AH123" s="104"/>
      <c r="AI123" s="104" t="s">
        <v>40</v>
      </c>
      <c r="AJ123" s="104" t="s">
        <v>41</v>
      </c>
      <c r="AK123" s="108"/>
      <c r="AL123" s="109"/>
      <c r="AO123" s="262" t="str">
        <f>informatieblad!$A$2</f>
        <v>FL20 loose</v>
      </c>
      <c r="AP123" s="262" t="str">
        <f>informatieblad!$A$3</f>
        <v>FL30 loose</v>
      </c>
      <c r="AQ123" s="263" t="str">
        <f>informatieblad!$A$4</f>
        <v>FL40 loose</v>
      </c>
      <c r="AR123" s="282"/>
      <c r="AS123" s="64"/>
      <c r="AT123" s="267"/>
      <c r="AU123" s="64"/>
      <c r="AV123" s="267"/>
      <c r="AW123" s="64"/>
      <c r="AX123" s="265" t="s">
        <v>47</v>
      </c>
      <c r="AY123" s="83" t="s">
        <v>23</v>
      </c>
      <c r="AZ123" s="273" t="s">
        <v>23</v>
      </c>
    </row>
    <row r="124" spans="1:52" ht="15.75" customHeight="1" thickBot="1">
      <c r="A124" s="495"/>
      <c r="B124" s="227" t="s">
        <v>23</v>
      </c>
      <c r="C124" s="237"/>
      <c r="D124" s="229">
        <f>C124*V124</f>
        <v>0</v>
      </c>
      <c r="E124" s="230" t="s">
        <v>24</v>
      </c>
      <c r="F124" s="498" t="s">
        <v>25</v>
      </c>
      <c r="G124" s="452"/>
      <c r="H124" s="452"/>
      <c r="I124" s="453"/>
      <c r="J124" s="176"/>
      <c r="T124" s="111"/>
      <c r="U124" s="112">
        <f>((((2*(B122+C122))*D122)+(B122*(E122-D122))+(C122*(E122-D122))+(2*(B122*AD124)))/1000000)</f>
        <v>0</v>
      </c>
      <c r="V124" s="112">
        <f>((IF(U124&lt;=informatieblad!$I$18,informatieblad!$I$18,IF(U124&gt;=informatieblad!$I$18,U124))))</f>
        <v>0.5</v>
      </c>
      <c r="W124" s="112">
        <f>((((2*(B122+C122))*D122)+(B122*(E122-D122))+(C122*(E122-D122))+(2*(B122*AD124)))/1000000)</f>
        <v>0</v>
      </c>
      <c r="X124" s="112">
        <f>((IF(W124&lt;=informatieblad!$H$18,informatieblad!$H$18,IF(W124&gt;=informatieblad!$H$18,W124))))</f>
        <v>0</v>
      </c>
      <c r="Y124" s="113">
        <f>((X124*AI124)+(X124*AB124))*C124</f>
        <v>0</v>
      </c>
      <c r="Z124" s="114">
        <f>((V124*AJ124)+(V124*AC124))*C124</f>
        <v>0</v>
      </c>
      <c r="AA124" s="115" t="str">
        <f>F124</f>
        <v>Options None</v>
      </c>
      <c r="AB124" s="115">
        <f>VLOOKUP(F124,informatieblad!$A$37:$D$41,2,FALSE)</f>
        <v>0</v>
      </c>
      <c r="AC124" s="115">
        <f>VLOOKUP(F124,informatieblad!$A$37:$D$41,4,FALSE)</f>
        <v>0</v>
      </c>
      <c r="AD124" s="159">
        <f>(SQRT((((TAN(F122*(PI()/180)))*C122)^2)+(C122^2)))</f>
        <v>0</v>
      </c>
      <c r="AE124" s="119">
        <f>ROUND(((TAN(F122*(PI()/180)))*C122),0)</f>
        <v>0</v>
      </c>
      <c r="AF124" s="119"/>
      <c r="AG124" s="119">
        <f>(MAX(B122:C122))</f>
        <v>0</v>
      </c>
      <c r="AH124" s="119">
        <f>LOOKUP(AG124,informatieblad!$C$27:$C$32,informatieblad!$A$27:$A$32)</f>
        <v>0.5</v>
      </c>
      <c r="AI124" s="118">
        <f>VLOOKUP(AH124,informatieblad!$A$27:$M$32,6,FALSE)</f>
        <v>0</v>
      </c>
      <c r="AJ124" s="118">
        <f>VLOOKUP(AH124,informatieblad!$A$27:$M$32,8,FALSE)</f>
        <v>45.1248</v>
      </c>
      <c r="AK124" s="120">
        <f>VLOOKUP(AH124,informatieblad!$A$27:$M$32,13,FALSE)</f>
        <v>4</v>
      </c>
      <c r="AL124" s="121">
        <f>ROUND((AK124*W124),1)</f>
        <v>0</v>
      </c>
      <c r="AO124" s="111">
        <f>(IF(B123=AO122,((2*B122)+(2*C122)),IF(B123=AO123,((2*B122)+(2*C122)),0)))*C124</f>
        <v>0</v>
      </c>
      <c r="AP124" s="111">
        <f>(IF(B123=AP122,((2*B122)+(2*C122)),IF(B123=AP123,((2*B122)+(2*C122)),0)))*C124</f>
        <v>0</v>
      </c>
      <c r="AQ124" s="261">
        <f>(IF(B123=AQ122,((2*B122)+(2*C122)),IF(B123=AQ123,((2*B122)+(2*C122)),0)))*C124</f>
        <v>0</v>
      </c>
      <c r="AR124" s="283">
        <f>(IF(B123=AR122,((2*B122)+(2*C122)),0))*C124</f>
        <v>0</v>
      </c>
      <c r="AS124" s="64"/>
      <c r="AT124" s="268">
        <f>E122*C124</f>
        <v>0</v>
      </c>
      <c r="AU124" s="64"/>
      <c r="AV124" s="268">
        <f>(AG124+100)*C124</f>
        <v>0</v>
      </c>
      <c r="AW124" s="64"/>
      <c r="AX124" s="111" t="str">
        <f>IF(B123=informatieblad!$A$6,informatieblad!$B$6,IF(B123=informatieblad!$A$7,informatieblad!$B$7,IF(B123=informatieblad!$A$8,informatieblad!$B$8,IF(B123=informatieblad!$A$2,informatieblad!$B$2,IF(B123=informatieblad!$A$3,informatieblad!$B$3,IF(B123=informatieblad!$A$4,informatieblad!$B$4,IF(B123=informatieblad!$A$5,informatieblad!$B$5,"")))))))</f>
        <v/>
      </c>
      <c r="AY124" s="276">
        <f>IF(AX124=AY122,(4*C124),0)</f>
        <v>0</v>
      </c>
      <c r="AZ124" s="274">
        <f>IF(AX124=AZ122,(4*C124),0)</f>
        <v>0</v>
      </c>
    </row>
    <row r="125" spans="1:52" ht="5.0999999999999996" customHeight="1" thickBot="1">
      <c r="A125" s="231"/>
      <c r="B125" s="232"/>
      <c r="C125" s="232"/>
      <c r="D125" s="232"/>
      <c r="E125" s="232"/>
      <c r="F125" s="232"/>
      <c r="G125" s="232"/>
      <c r="H125" s="232"/>
      <c r="I125" s="233"/>
      <c r="J125" s="64"/>
    </row>
    <row r="126" spans="1:52" ht="15" customHeight="1" thickBot="1">
      <c r="A126" s="494"/>
      <c r="B126" s="234"/>
      <c r="C126" s="234"/>
      <c r="D126" s="333">
        <f>(B126&gt;0)*$I$8</f>
        <v>0</v>
      </c>
      <c r="E126" s="244">
        <f>D126+AE128</f>
        <v>0</v>
      </c>
      <c r="F126" s="243">
        <f>(B126&gt;0)*$I$9</f>
        <v>0</v>
      </c>
      <c r="G126" s="221"/>
      <c r="H126" s="221"/>
      <c r="I126" s="222"/>
      <c r="J126" s="345" t="s">
        <v>20</v>
      </c>
      <c r="T126" s="97" t="s">
        <v>14</v>
      </c>
      <c r="U126" s="98" t="s">
        <v>27</v>
      </c>
      <c r="V126" s="98" t="s">
        <v>28</v>
      </c>
      <c r="W126" s="98" t="s">
        <v>27</v>
      </c>
      <c r="X126" s="98" t="s">
        <v>28</v>
      </c>
      <c r="Y126" s="98" t="s">
        <v>29</v>
      </c>
      <c r="Z126" s="66" t="s">
        <v>30</v>
      </c>
      <c r="AA126" s="153" t="s">
        <v>31</v>
      </c>
      <c r="AB126" s="153"/>
      <c r="AC126" s="153"/>
      <c r="AD126" s="97" t="s">
        <v>164</v>
      </c>
      <c r="AE126" s="98" t="s">
        <v>165</v>
      </c>
      <c r="AF126" s="245"/>
      <c r="AG126" s="98" t="s">
        <v>33</v>
      </c>
      <c r="AH126" s="98" t="s">
        <v>34</v>
      </c>
      <c r="AI126" s="98" t="s">
        <v>32</v>
      </c>
      <c r="AJ126" s="98" t="s">
        <v>32</v>
      </c>
      <c r="AK126" s="98" t="s">
        <v>51</v>
      </c>
      <c r="AL126" s="101" t="s">
        <v>36</v>
      </c>
      <c r="AO126" s="97" t="str">
        <f>informatieblad!$A$6</f>
        <v>FL20</v>
      </c>
      <c r="AP126" s="97" t="str">
        <f>informatieblad!$A$7</f>
        <v>FL30</v>
      </c>
      <c r="AQ126" s="99" t="str">
        <f>informatieblad!$A$8</f>
        <v>FL40</v>
      </c>
      <c r="AR126" s="266" t="str">
        <f>informatieblad!$A$5</f>
        <v>none</v>
      </c>
      <c r="AS126" s="64"/>
      <c r="AT126" s="266" t="s">
        <v>17</v>
      </c>
      <c r="AU126" s="64"/>
      <c r="AV126" s="266" t="s">
        <v>37</v>
      </c>
      <c r="AW126" s="64"/>
      <c r="AX126" s="269" t="s">
        <v>38</v>
      </c>
      <c r="AY126" s="272">
        <f>informatieblad!$B$3</f>
        <v>0</v>
      </c>
      <c r="AZ126" s="264">
        <f>informatieblad!$B$4</f>
        <v>0</v>
      </c>
    </row>
    <row r="127" spans="1:52" ht="15" customHeight="1">
      <c r="A127" s="475"/>
      <c r="B127" s="502" t="str">
        <f>IF($C128&gt;0,IF(MAX(B126,C126)&lt;informatieblad!$Q$4,informatieblad!$P$3,IF(MAX(B126,C126)&gt;informatieblad!$R$4,informatieblad!$P$5,informatieblad!$P$4)),"")</f>
        <v/>
      </c>
      <c r="C127" s="503"/>
      <c r="D127" s="223"/>
      <c r="E127" s="223"/>
      <c r="F127" s="334" t="str">
        <f>A126&amp;"-"&amp;informatieblad!$B$18&amp;"-"&amp;B126&amp;"-"&amp;C126&amp;"-"&amp;D126&amp;"-"&amp;E126&amp;"-"&amp;F126&amp;"-"&amp;B127&amp;"-"&amp;F128</f>
        <v>-RctG---0-0-0--Options None</v>
      </c>
      <c r="G127" s="235"/>
      <c r="H127" s="235"/>
      <c r="I127" s="236"/>
      <c r="J127" s="83"/>
      <c r="T127" s="103">
        <f>A126</f>
        <v>0</v>
      </c>
      <c r="U127" s="104" t="s">
        <v>39</v>
      </c>
      <c r="V127" s="104" t="s">
        <v>39</v>
      </c>
      <c r="W127" s="104" t="s">
        <v>40</v>
      </c>
      <c r="X127" s="104" t="s">
        <v>40</v>
      </c>
      <c r="Y127" s="104" t="s">
        <v>40</v>
      </c>
      <c r="Z127" s="105"/>
      <c r="AA127" s="155" t="s">
        <v>27</v>
      </c>
      <c r="AB127" s="155" t="s">
        <v>40</v>
      </c>
      <c r="AC127" s="155" t="s">
        <v>41</v>
      </c>
      <c r="AD127" s="246" t="s">
        <v>166</v>
      </c>
      <c r="AE127" s="104" t="s">
        <v>167</v>
      </c>
      <c r="AF127" s="247"/>
      <c r="AG127" s="104" t="s">
        <v>44</v>
      </c>
      <c r="AH127" s="104"/>
      <c r="AI127" s="104" t="s">
        <v>40</v>
      </c>
      <c r="AJ127" s="104" t="s">
        <v>41</v>
      </c>
      <c r="AK127" s="108"/>
      <c r="AL127" s="109"/>
      <c r="AO127" s="262" t="str">
        <f>informatieblad!$A$2</f>
        <v>FL20 loose</v>
      </c>
      <c r="AP127" s="262" t="str">
        <f>informatieblad!$A$3</f>
        <v>FL30 loose</v>
      </c>
      <c r="AQ127" s="263" t="str">
        <f>informatieblad!$A$4</f>
        <v>FL40 loose</v>
      </c>
      <c r="AR127" s="282"/>
      <c r="AS127" s="64"/>
      <c r="AT127" s="267"/>
      <c r="AU127" s="64"/>
      <c r="AV127" s="267"/>
      <c r="AW127" s="64"/>
      <c r="AX127" s="265" t="s">
        <v>47</v>
      </c>
      <c r="AY127" s="83" t="s">
        <v>23</v>
      </c>
      <c r="AZ127" s="273" t="s">
        <v>23</v>
      </c>
    </row>
    <row r="128" spans="1:52" ht="15.75" customHeight="1" thickBot="1">
      <c r="A128" s="495"/>
      <c r="B128" s="227" t="s">
        <v>23</v>
      </c>
      <c r="C128" s="237"/>
      <c r="D128" s="229">
        <f>C128*V128</f>
        <v>0</v>
      </c>
      <c r="E128" s="230" t="s">
        <v>24</v>
      </c>
      <c r="F128" s="498" t="s">
        <v>25</v>
      </c>
      <c r="G128" s="452"/>
      <c r="H128" s="452"/>
      <c r="I128" s="453"/>
      <c r="J128" s="176"/>
      <c r="T128" s="111"/>
      <c r="U128" s="112">
        <f>((((2*(B126+C126))*D126)+(B126*(E126-D126))+(C126*(E126-D126))+(2*(B126*AD128)))/1000000)</f>
        <v>0</v>
      </c>
      <c r="V128" s="112">
        <f>((IF(U128&lt;=informatieblad!$I$18,informatieblad!$I$18,IF(U128&gt;=informatieblad!$I$18,U128))))</f>
        <v>0.5</v>
      </c>
      <c r="W128" s="112">
        <f>((((2*(B126+C126))*D126)+(B126*(E126-D126))+(C126*(E126-D126))+(2*(B126*AD128)))/1000000)</f>
        <v>0</v>
      </c>
      <c r="X128" s="112">
        <f>((IF(W128&lt;=informatieblad!$H$18,informatieblad!$H$18,IF(W128&gt;=informatieblad!$H$18,W128))))</f>
        <v>0</v>
      </c>
      <c r="Y128" s="113">
        <f>((X128*AI128)+(X128*AB128))*C128</f>
        <v>0</v>
      </c>
      <c r="Z128" s="114">
        <f>((V128*AJ128)+(V128*AC128))*C128</f>
        <v>0</v>
      </c>
      <c r="AA128" s="115" t="str">
        <f>F128</f>
        <v>Options None</v>
      </c>
      <c r="AB128" s="115">
        <f>VLOOKUP(F128,informatieblad!$A$37:$D$41,2,FALSE)</f>
        <v>0</v>
      </c>
      <c r="AC128" s="115">
        <f>VLOOKUP(F128,informatieblad!$A$37:$D$41,4,FALSE)</f>
        <v>0</v>
      </c>
      <c r="AD128" s="159">
        <f>(SQRT((((TAN(F126*(PI()/180)))*C126)^2)+(C126^2)))</f>
        <v>0</v>
      </c>
      <c r="AE128" s="119">
        <f>ROUND(((TAN(F126*(PI()/180)))*C126),0)</f>
        <v>0</v>
      </c>
      <c r="AF128" s="119"/>
      <c r="AG128" s="119">
        <f>(MAX(B126:C126))</f>
        <v>0</v>
      </c>
      <c r="AH128" s="119">
        <f>LOOKUP(AG128,informatieblad!$C$27:$C$32,informatieblad!$A$27:$A$32)</f>
        <v>0.5</v>
      </c>
      <c r="AI128" s="118">
        <f>VLOOKUP(AH128,informatieblad!$A$27:$M$32,6,FALSE)</f>
        <v>0</v>
      </c>
      <c r="AJ128" s="118">
        <f>VLOOKUP(AH128,informatieblad!$A$27:$M$32,8,FALSE)</f>
        <v>45.1248</v>
      </c>
      <c r="AK128" s="120">
        <f>VLOOKUP(AH128,informatieblad!$A$27:$M$32,13,FALSE)</f>
        <v>4</v>
      </c>
      <c r="AL128" s="121">
        <f>ROUND((AK128*W128),1)</f>
        <v>0</v>
      </c>
      <c r="AO128" s="111">
        <f>(IF(B127=AO126,((2*B126)+(2*C126)),IF(B127=AO127,((2*B126)+(2*C126)),0)))*C128</f>
        <v>0</v>
      </c>
      <c r="AP128" s="111">
        <f>(IF(B127=AP126,((2*B126)+(2*C126)),IF(B127=AP127,((2*B126)+(2*C126)),0)))*C128</f>
        <v>0</v>
      </c>
      <c r="AQ128" s="261">
        <f>(IF(B127=AQ126,((2*B126)+(2*C126)),IF(B127=AQ127,((2*B126)+(2*C126)),0)))*C128</f>
        <v>0</v>
      </c>
      <c r="AR128" s="283">
        <f>(IF(B127=AR126,((2*B126)+(2*C126)),0))*C128</f>
        <v>0</v>
      </c>
      <c r="AS128" s="64"/>
      <c r="AT128" s="268">
        <f>E126*C128</f>
        <v>0</v>
      </c>
      <c r="AU128" s="64"/>
      <c r="AV128" s="268">
        <f>(AG128+100)*C128</f>
        <v>0</v>
      </c>
      <c r="AW128" s="64"/>
      <c r="AX128" s="111" t="str">
        <f>IF(B127=informatieblad!$A$6,informatieblad!$B$6,IF(B127=informatieblad!$A$7,informatieblad!$B$7,IF(B127=informatieblad!$A$8,informatieblad!$B$8,IF(B127=informatieblad!$A$2,informatieblad!$B$2,IF(B127=informatieblad!$A$3,informatieblad!$B$3,IF(B127=informatieblad!$A$4,informatieblad!$B$4,IF(B127=informatieblad!$A$5,informatieblad!$B$5,"")))))))</f>
        <v/>
      </c>
      <c r="AY128" s="276">
        <f>IF(AX128=AY126,(4*C128),0)</f>
        <v>0</v>
      </c>
      <c r="AZ128" s="274">
        <f>IF(AX128=AZ126,(4*C128),0)</f>
        <v>0</v>
      </c>
    </row>
    <row r="129" spans="1:52" ht="5.0999999999999996" customHeight="1" thickBot="1">
      <c r="A129" s="231"/>
      <c r="B129" s="232"/>
      <c r="C129" s="232"/>
      <c r="D129" s="232"/>
      <c r="E129" s="232"/>
      <c r="F129" s="232"/>
      <c r="G129" s="232"/>
      <c r="H129" s="232"/>
      <c r="I129" s="233"/>
      <c r="J129" s="64"/>
    </row>
    <row r="130" spans="1:52" ht="15" customHeight="1" thickBot="1">
      <c r="A130" s="494"/>
      <c r="B130" s="234"/>
      <c r="C130" s="234"/>
      <c r="D130" s="333">
        <f>(B130&gt;0)*$I$8</f>
        <v>0</v>
      </c>
      <c r="E130" s="244">
        <f>D130+AE132</f>
        <v>0</v>
      </c>
      <c r="F130" s="243">
        <f>(B130&gt;0)*$I$9</f>
        <v>0</v>
      </c>
      <c r="G130" s="221"/>
      <c r="H130" s="221"/>
      <c r="I130" s="222"/>
      <c r="J130" s="345" t="s">
        <v>20</v>
      </c>
      <c r="T130" s="97" t="s">
        <v>14</v>
      </c>
      <c r="U130" s="98" t="s">
        <v>27</v>
      </c>
      <c r="V130" s="98" t="s">
        <v>28</v>
      </c>
      <c r="W130" s="98" t="s">
        <v>27</v>
      </c>
      <c r="X130" s="98" t="s">
        <v>28</v>
      </c>
      <c r="Y130" s="98" t="s">
        <v>29</v>
      </c>
      <c r="Z130" s="66" t="s">
        <v>30</v>
      </c>
      <c r="AA130" s="153" t="s">
        <v>31</v>
      </c>
      <c r="AB130" s="153"/>
      <c r="AC130" s="153"/>
      <c r="AD130" s="97" t="s">
        <v>164</v>
      </c>
      <c r="AE130" s="98" t="s">
        <v>165</v>
      </c>
      <c r="AF130" s="245"/>
      <c r="AG130" s="98" t="s">
        <v>33</v>
      </c>
      <c r="AH130" s="98" t="s">
        <v>34</v>
      </c>
      <c r="AI130" s="98" t="s">
        <v>32</v>
      </c>
      <c r="AJ130" s="98" t="s">
        <v>32</v>
      </c>
      <c r="AK130" s="98" t="s">
        <v>51</v>
      </c>
      <c r="AL130" s="101" t="s">
        <v>36</v>
      </c>
      <c r="AO130" s="97" t="str">
        <f>informatieblad!$A$6</f>
        <v>FL20</v>
      </c>
      <c r="AP130" s="97" t="str">
        <f>informatieblad!$A$7</f>
        <v>FL30</v>
      </c>
      <c r="AQ130" s="99" t="str">
        <f>informatieblad!$A$8</f>
        <v>FL40</v>
      </c>
      <c r="AR130" s="266" t="str">
        <f>informatieblad!$A$5</f>
        <v>none</v>
      </c>
      <c r="AS130" s="64"/>
      <c r="AT130" s="266" t="s">
        <v>17</v>
      </c>
      <c r="AU130" s="64"/>
      <c r="AV130" s="266" t="s">
        <v>37</v>
      </c>
      <c r="AW130" s="64"/>
      <c r="AX130" s="269" t="s">
        <v>38</v>
      </c>
      <c r="AY130" s="272">
        <f>informatieblad!$B$3</f>
        <v>0</v>
      </c>
      <c r="AZ130" s="264">
        <f>informatieblad!$B$4</f>
        <v>0</v>
      </c>
    </row>
    <row r="131" spans="1:52" ht="15" customHeight="1">
      <c r="A131" s="475"/>
      <c r="B131" s="502" t="str">
        <f>IF($C132&gt;0,IF(MAX(B130,C130)&lt;informatieblad!$Q$4,informatieblad!$P$3,IF(MAX(B130,C130)&gt;informatieblad!$R$4,informatieblad!$P$5,informatieblad!$P$4)),"")</f>
        <v/>
      </c>
      <c r="C131" s="503"/>
      <c r="D131" s="223"/>
      <c r="E131" s="223"/>
      <c r="F131" s="334" t="str">
        <f>A130&amp;"-"&amp;informatieblad!$B$18&amp;"-"&amp;B130&amp;"-"&amp;C130&amp;"-"&amp;D130&amp;"-"&amp;E130&amp;"-"&amp;F130&amp;"-"&amp;B131&amp;"-"&amp;F132</f>
        <v>-RctG---0-0-0--Options None</v>
      </c>
      <c r="G131" s="235"/>
      <c r="H131" s="235"/>
      <c r="I131" s="236"/>
      <c r="J131" s="83"/>
      <c r="T131" s="103">
        <f>A130</f>
        <v>0</v>
      </c>
      <c r="U131" s="104" t="s">
        <v>39</v>
      </c>
      <c r="V131" s="104" t="s">
        <v>39</v>
      </c>
      <c r="W131" s="104" t="s">
        <v>40</v>
      </c>
      <c r="X131" s="104" t="s">
        <v>40</v>
      </c>
      <c r="Y131" s="104" t="s">
        <v>40</v>
      </c>
      <c r="Z131" s="105"/>
      <c r="AA131" s="155" t="s">
        <v>27</v>
      </c>
      <c r="AB131" s="155" t="s">
        <v>40</v>
      </c>
      <c r="AC131" s="155" t="s">
        <v>41</v>
      </c>
      <c r="AD131" s="246" t="s">
        <v>166</v>
      </c>
      <c r="AE131" s="104" t="s">
        <v>167</v>
      </c>
      <c r="AF131" s="247"/>
      <c r="AG131" s="104" t="s">
        <v>44</v>
      </c>
      <c r="AH131" s="104"/>
      <c r="AI131" s="104" t="s">
        <v>40</v>
      </c>
      <c r="AJ131" s="104" t="s">
        <v>41</v>
      </c>
      <c r="AK131" s="108"/>
      <c r="AL131" s="109"/>
      <c r="AO131" s="262" t="str">
        <f>informatieblad!$A$2</f>
        <v>FL20 loose</v>
      </c>
      <c r="AP131" s="262" t="str">
        <f>informatieblad!$A$3</f>
        <v>FL30 loose</v>
      </c>
      <c r="AQ131" s="263" t="str">
        <f>informatieblad!$A$4</f>
        <v>FL40 loose</v>
      </c>
      <c r="AR131" s="282"/>
      <c r="AS131" s="64"/>
      <c r="AT131" s="267"/>
      <c r="AU131" s="64"/>
      <c r="AV131" s="267"/>
      <c r="AW131" s="64"/>
      <c r="AX131" s="265" t="s">
        <v>47</v>
      </c>
      <c r="AY131" s="83" t="s">
        <v>23</v>
      </c>
      <c r="AZ131" s="273" t="s">
        <v>23</v>
      </c>
    </row>
    <row r="132" spans="1:52" ht="15.75" customHeight="1" thickBot="1">
      <c r="A132" s="495"/>
      <c r="B132" s="227" t="s">
        <v>23</v>
      </c>
      <c r="C132" s="237"/>
      <c r="D132" s="229">
        <f>C132*V132</f>
        <v>0</v>
      </c>
      <c r="E132" s="230" t="s">
        <v>24</v>
      </c>
      <c r="F132" s="498" t="s">
        <v>25</v>
      </c>
      <c r="G132" s="452"/>
      <c r="H132" s="452"/>
      <c r="I132" s="453"/>
      <c r="J132" s="176"/>
      <c r="T132" s="111"/>
      <c r="U132" s="112">
        <f>((((2*(B130+C130))*D130)+(B130*(E130-D130))+(C130*(E130-D130))+(2*(B130*AD132)))/1000000)</f>
        <v>0</v>
      </c>
      <c r="V132" s="112">
        <f>((IF(U132&lt;=informatieblad!$I$18,informatieblad!$I$18,IF(U132&gt;=informatieblad!$I$18,U132))))</f>
        <v>0.5</v>
      </c>
      <c r="W132" s="112">
        <f>((((2*(B130+C130))*D130)+(B130*(E130-D130))+(C130*(E130-D130))+(2*(B130*AD132)))/1000000)</f>
        <v>0</v>
      </c>
      <c r="X132" s="112">
        <f>((IF(W132&lt;=informatieblad!$H$18,informatieblad!$H$18,IF(W132&gt;=informatieblad!$H$18,W132))))</f>
        <v>0</v>
      </c>
      <c r="Y132" s="113">
        <f>((X132*AI132)+(X132*AB132))*C132</f>
        <v>0</v>
      </c>
      <c r="Z132" s="114">
        <f>((V132*AJ132)+(V132*AC132))*C132</f>
        <v>0</v>
      </c>
      <c r="AA132" s="115" t="str">
        <f>F132</f>
        <v>Options None</v>
      </c>
      <c r="AB132" s="115">
        <f>VLOOKUP(F132,informatieblad!$A$37:$D$41,2,FALSE)</f>
        <v>0</v>
      </c>
      <c r="AC132" s="115">
        <f>VLOOKUP(F132,informatieblad!$A$37:$D$41,4,FALSE)</f>
        <v>0</v>
      </c>
      <c r="AD132" s="159">
        <f>(SQRT((((TAN(F130*(PI()/180)))*C130)^2)+(C130^2)))</f>
        <v>0</v>
      </c>
      <c r="AE132" s="119">
        <f>ROUND(((TAN(F130*(PI()/180)))*C130),0)</f>
        <v>0</v>
      </c>
      <c r="AF132" s="119"/>
      <c r="AG132" s="119">
        <f>(MAX(B130:C130))</f>
        <v>0</v>
      </c>
      <c r="AH132" s="119">
        <f>LOOKUP(AG132,informatieblad!$C$27:$C$32,informatieblad!$A$27:$A$32)</f>
        <v>0.5</v>
      </c>
      <c r="AI132" s="118">
        <f>VLOOKUP(AH132,informatieblad!$A$27:$M$32,6,FALSE)</f>
        <v>0</v>
      </c>
      <c r="AJ132" s="118">
        <f>VLOOKUP(AH132,informatieblad!$A$27:$M$32,8,FALSE)</f>
        <v>45.1248</v>
      </c>
      <c r="AK132" s="120">
        <f>VLOOKUP(AH132,informatieblad!$A$27:$M$32,13,FALSE)</f>
        <v>4</v>
      </c>
      <c r="AL132" s="121">
        <f>ROUND((AK132*W132),1)</f>
        <v>0</v>
      </c>
      <c r="AO132" s="111">
        <f>(IF(B131=AO130,((2*B130)+(2*C130)),IF(B131=AO131,((2*B130)+(2*C130)),0)))*C132</f>
        <v>0</v>
      </c>
      <c r="AP132" s="111">
        <f>(IF(B131=AP130,((2*B130)+(2*C130)),IF(B131=AP131,((2*B130)+(2*C130)),0)))*C132</f>
        <v>0</v>
      </c>
      <c r="AQ132" s="261">
        <f>(IF(B131=AQ130,((2*B130)+(2*C130)),IF(B131=AQ131,((2*B130)+(2*C130)),0)))*C132</f>
        <v>0</v>
      </c>
      <c r="AR132" s="283">
        <f>(IF(B131=AR130,((2*B130)+(2*C130)),0))*C132</f>
        <v>0</v>
      </c>
      <c r="AS132" s="64"/>
      <c r="AT132" s="268">
        <f>E130*C132</f>
        <v>0</v>
      </c>
      <c r="AU132" s="64"/>
      <c r="AV132" s="268">
        <f>(AG132+100)*C132</f>
        <v>0</v>
      </c>
      <c r="AW132" s="64"/>
      <c r="AX132" s="111" t="str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/>
      </c>
      <c r="AY132" s="276">
        <f>IF(AX132=AY130,(4*C132),0)</f>
        <v>0</v>
      </c>
      <c r="AZ132" s="274">
        <f>IF(AX132=AZ130,(4*C132),0)</f>
        <v>0</v>
      </c>
    </row>
    <row r="133" spans="1:52" ht="5.0999999999999996" customHeight="1" thickBot="1">
      <c r="A133" s="231"/>
      <c r="B133" s="232"/>
      <c r="C133" s="232"/>
      <c r="D133" s="232"/>
      <c r="E133" s="232"/>
      <c r="F133" s="232"/>
      <c r="G133" s="232"/>
      <c r="H133" s="232"/>
      <c r="I133" s="233"/>
      <c r="J133" s="64"/>
    </row>
    <row r="134" spans="1:52" ht="15" customHeight="1" thickBot="1">
      <c r="A134" s="494"/>
      <c r="B134" s="234"/>
      <c r="C134" s="234"/>
      <c r="D134" s="333">
        <f>(B134&gt;0)*$I$8</f>
        <v>0</v>
      </c>
      <c r="E134" s="244">
        <f>D134+AE136</f>
        <v>0</v>
      </c>
      <c r="F134" s="243">
        <f>(B134&gt;0)*$I$9</f>
        <v>0</v>
      </c>
      <c r="G134" s="221"/>
      <c r="H134" s="221"/>
      <c r="I134" s="222"/>
      <c r="J134" s="345" t="s">
        <v>20</v>
      </c>
      <c r="T134" s="97" t="s">
        <v>14</v>
      </c>
      <c r="U134" s="98" t="s">
        <v>27</v>
      </c>
      <c r="V134" s="98" t="s">
        <v>28</v>
      </c>
      <c r="W134" s="98" t="s">
        <v>27</v>
      </c>
      <c r="X134" s="98" t="s">
        <v>28</v>
      </c>
      <c r="Y134" s="98" t="s">
        <v>29</v>
      </c>
      <c r="Z134" s="66" t="s">
        <v>30</v>
      </c>
      <c r="AA134" s="153" t="s">
        <v>31</v>
      </c>
      <c r="AB134" s="153"/>
      <c r="AC134" s="153"/>
      <c r="AD134" s="97" t="s">
        <v>164</v>
      </c>
      <c r="AE134" s="98" t="s">
        <v>165</v>
      </c>
      <c r="AF134" s="245"/>
      <c r="AG134" s="98" t="s">
        <v>33</v>
      </c>
      <c r="AH134" s="98" t="s">
        <v>34</v>
      </c>
      <c r="AI134" s="98" t="s">
        <v>32</v>
      </c>
      <c r="AJ134" s="98" t="s">
        <v>32</v>
      </c>
      <c r="AK134" s="98" t="s">
        <v>51</v>
      </c>
      <c r="AL134" s="101" t="s">
        <v>36</v>
      </c>
      <c r="AO134" s="97" t="str">
        <f>informatieblad!$A$6</f>
        <v>FL20</v>
      </c>
      <c r="AP134" s="97" t="str">
        <f>informatieblad!$A$7</f>
        <v>FL30</v>
      </c>
      <c r="AQ134" s="99" t="str">
        <f>informatieblad!$A$8</f>
        <v>FL40</v>
      </c>
      <c r="AR134" s="266" t="str">
        <f>informatieblad!$A$5</f>
        <v>none</v>
      </c>
      <c r="AS134" s="64"/>
      <c r="AT134" s="266" t="s">
        <v>17</v>
      </c>
      <c r="AU134" s="64"/>
      <c r="AV134" s="266" t="s">
        <v>37</v>
      </c>
      <c r="AW134" s="64"/>
      <c r="AX134" s="269" t="s">
        <v>38</v>
      </c>
      <c r="AY134" s="272">
        <f>informatieblad!$B$3</f>
        <v>0</v>
      </c>
      <c r="AZ134" s="264">
        <f>informatieblad!$B$4</f>
        <v>0</v>
      </c>
    </row>
    <row r="135" spans="1:52" ht="15" customHeight="1">
      <c r="A135" s="475"/>
      <c r="B135" s="502" t="str">
        <f>IF($C136&gt;0,IF(MAX(B134,C134)&lt;informatieblad!$Q$4,informatieblad!$P$3,IF(MAX(B134,C134)&gt;informatieblad!$R$4,informatieblad!$P$5,informatieblad!$P$4)),"")</f>
        <v/>
      </c>
      <c r="C135" s="503"/>
      <c r="D135" s="223"/>
      <c r="E135" s="223"/>
      <c r="F135" s="334" t="str">
        <f>A134&amp;"-"&amp;informatieblad!$B$18&amp;"-"&amp;B134&amp;"-"&amp;C134&amp;"-"&amp;D134&amp;"-"&amp;E134&amp;"-"&amp;F134&amp;"-"&amp;B135&amp;"-"&amp;F136</f>
        <v>-RctG---0-0-0--Options None</v>
      </c>
      <c r="G135" s="235"/>
      <c r="H135" s="235"/>
      <c r="I135" s="236"/>
      <c r="J135" s="83"/>
      <c r="T135" s="103">
        <f>A134</f>
        <v>0</v>
      </c>
      <c r="U135" s="104" t="s">
        <v>39</v>
      </c>
      <c r="V135" s="104" t="s">
        <v>39</v>
      </c>
      <c r="W135" s="104" t="s">
        <v>40</v>
      </c>
      <c r="X135" s="104" t="s">
        <v>40</v>
      </c>
      <c r="Y135" s="104" t="s">
        <v>40</v>
      </c>
      <c r="Z135" s="105"/>
      <c r="AA135" s="155" t="s">
        <v>27</v>
      </c>
      <c r="AB135" s="155" t="s">
        <v>40</v>
      </c>
      <c r="AC135" s="155" t="s">
        <v>41</v>
      </c>
      <c r="AD135" s="246" t="s">
        <v>166</v>
      </c>
      <c r="AE135" s="104" t="s">
        <v>167</v>
      </c>
      <c r="AF135" s="247"/>
      <c r="AG135" s="104" t="s">
        <v>44</v>
      </c>
      <c r="AH135" s="104"/>
      <c r="AI135" s="104" t="s">
        <v>40</v>
      </c>
      <c r="AJ135" s="104" t="s">
        <v>41</v>
      </c>
      <c r="AK135" s="108"/>
      <c r="AL135" s="109"/>
      <c r="AO135" s="262" t="str">
        <f>informatieblad!$A$2</f>
        <v>FL20 loose</v>
      </c>
      <c r="AP135" s="262" t="str">
        <f>informatieblad!$A$3</f>
        <v>FL30 loose</v>
      </c>
      <c r="AQ135" s="263" t="str">
        <f>informatieblad!$A$4</f>
        <v>FL40 loose</v>
      </c>
      <c r="AR135" s="282"/>
      <c r="AS135" s="64"/>
      <c r="AT135" s="267"/>
      <c r="AU135" s="64"/>
      <c r="AV135" s="267"/>
      <c r="AW135" s="64"/>
      <c r="AX135" s="265" t="s">
        <v>47</v>
      </c>
      <c r="AY135" s="83" t="s">
        <v>23</v>
      </c>
      <c r="AZ135" s="273" t="s">
        <v>23</v>
      </c>
    </row>
    <row r="136" spans="1:52" ht="15.75" customHeight="1" thickBot="1">
      <c r="A136" s="495"/>
      <c r="B136" s="227" t="s">
        <v>23</v>
      </c>
      <c r="C136" s="237"/>
      <c r="D136" s="229">
        <f>C136*V136</f>
        <v>0</v>
      </c>
      <c r="E136" s="230" t="s">
        <v>24</v>
      </c>
      <c r="F136" s="498" t="s">
        <v>25</v>
      </c>
      <c r="G136" s="452"/>
      <c r="H136" s="452"/>
      <c r="I136" s="453"/>
      <c r="J136" s="176"/>
      <c r="T136" s="111"/>
      <c r="U136" s="112">
        <f>((((2*(B134+C134))*D134)+(B134*(E134-D134))+(C134*(E134-D134))+(2*(B134*AD136)))/1000000)</f>
        <v>0</v>
      </c>
      <c r="V136" s="112">
        <f>((IF(U136&lt;=informatieblad!$I$18,informatieblad!$I$18,IF(U136&gt;=informatieblad!$I$18,U136))))</f>
        <v>0.5</v>
      </c>
      <c r="W136" s="112">
        <f>((((2*(B134+C134))*D134)+(B134*(E134-D134))+(C134*(E134-D134))+(2*(B134*AD136)))/1000000)</f>
        <v>0</v>
      </c>
      <c r="X136" s="112">
        <f>((IF(W136&lt;=informatieblad!$H$18,informatieblad!$H$18,IF(W136&gt;=informatieblad!$H$18,W136))))</f>
        <v>0</v>
      </c>
      <c r="Y136" s="113">
        <f>((X136*AI136)+(X136*AB136))*C136</f>
        <v>0</v>
      </c>
      <c r="Z136" s="114">
        <f>((V136*AJ136)+(V136*AC136))*C136</f>
        <v>0</v>
      </c>
      <c r="AA136" s="115" t="str">
        <f>F136</f>
        <v>Options None</v>
      </c>
      <c r="AB136" s="115">
        <f>VLOOKUP(F136,informatieblad!$A$37:$D$41,2,FALSE)</f>
        <v>0</v>
      </c>
      <c r="AC136" s="115">
        <f>VLOOKUP(F136,informatieblad!$A$37:$D$41,4,FALSE)</f>
        <v>0</v>
      </c>
      <c r="AD136" s="159">
        <f>(SQRT((((TAN(F134*(PI()/180)))*C134)^2)+(C134^2)))</f>
        <v>0</v>
      </c>
      <c r="AE136" s="119">
        <f>ROUND(((TAN(F134*(PI()/180)))*C134),0)</f>
        <v>0</v>
      </c>
      <c r="AF136" s="119"/>
      <c r="AG136" s="119">
        <f>(MAX(B134:C134))</f>
        <v>0</v>
      </c>
      <c r="AH136" s="119">
        <f>LOOKUP(AG136,informatieblad!$C$27:$C$32,informatieblad!$A$27:$A$32)</f>
        <v>0.5</v>
      </c>
      <c r="AI136" s="118">
        <f>VLOOKUP(AH136,informatieblad!$A$27:$M$32,6,FALSE)</f>
        <v>0</v>
      </c>
      <c r="AJ136" s="118">
        <f>VLOOKUP(AH136,informatieblad!$A$27:$M$32,8,FALSE)</f>
        <v>45.1248</v>
      </c>
      <c r="AK136" s="120">
        <f>VLOOKUP(AH136,informatieblad!$A$27:$M$32,13,FALSE)</f>
        <v>4</v>
      </c>
      <c r="AL136" s="121">
        <f>ROUND((AK136*W136),1)</f>
        <v>0</v>
      </c>
      <c r="AO136" s="111">
        <f>(IF(B135=AO134,((2*B134)+(2*C134)),IF(B135=AO135,((2*B134)+(2*C134)),0)))*C136</f>
        <v>0</v>
      </c>
      <c r="AP136" s="111">
        <f>(IF(B135=AP134,((2*B134)+(2*C134)),IF(B135=AP135,((2*B134)+(2*C134)),0)))*C136</f>
        <v>0</v>
      </c>
      <c r="AQ136" s="261">
        <f>(IF(B135=AQ134,((2*B134)+(2*C134)),IF(B135=AQ135,((2*B134)+(2*C134)),0)))*C136</f>
        <v>0</v>
      </c>
      <c r="AR136" s="283">
        <f>(IF(B135=AR134,((2*B134)+(2*C134)),0))*C136</f>
        <v>0</v>
      </c>
      <c r="AS136" s="64"/>
      <c r="AT136" s="268">
        <f>E134*C136</f>
        <v>0</v>
      </c>
      <c r="AU136" s="64"/>
      <c r="AV136" s="268">
        <f>(AG136+100)*C136</f>
        <v>0</v>
      </c>
      <c r="AW136" s="64"/>
      <c r="AX136" s="111" t="str">
        <f>IF(B135=informatieblad!$A$6,informatieblad!$B$6,IF(B135=informatieblad!$A$7,informatieblad!$B$7,IF(B135=informatieblad!$A$8,informatieblad!$B$8,IF(B135=informatieblad!$A$2,informatieblad!$B$2,IF(B135=informatieblad!$A$3,informatieblad!$B$3,IF(B135=informatieblad!$A$4,informatieblad!$B$4,IF(B135=informatieblad!$A$5,informatieblad!$B$5,"")))))))</f>
        <v/>
      </c>
      <c r="AY136" s="276">
        <f>IF(AX136=AY134,(4*C136),0)</f>
        <v>0</v>
      </c>
      <c r="AZ136" s="274">
        <f>IF(AX136=AZ134,(4*C136),0)</f>
        <v>0</v>
      </c>
    </row>
    <row r="137" spans="1:52" ht="5.0999999999999996" customHeight="1" thickBot="1">
      <c r="A137" s="231"/>
      <c r="B137" s="232"/>
      <c r="C137" s="232"/>
      <c r="D137" s="232"/>
      <c r="E137" s="232"/>
      <c r="F137" s="232"/>
      <c r="G137" s="232"/>
      <c r="H137" s="232"/>
      <c r="I137" s="233"/>
      <c r="J137" s="64"/>
    </row>
    <row r="138" spans="1:52" ht="15" customHeight="1" thickBot="1">
      <c r="A138" s="494"/>
      <c r="B138" s="234"/>
      <c r="C138" s="234"/>
      <c r="D138" s="333">
        <f>(B138&gt;0)*$I$8</f>
        <v>0</v>
      </c>
      <c r="E138" s="244">
        <f>D138+AE140</f>
        <v>0</v>
      </c>
      <c r="F138" s="243">
        <f>(B138&gt;0)*$I$9</f>
        <v>0</v>
      </c>
      <c r="G138" s="221"/>
      <c r="H138" s="221"/>
      <c r="I138" s="222"/>
      <c r="J138" s="345" t="s">
        <v>20</v>
      </c>
      <c r="T138" s="97" t="s">
        <v>14</v>
      </c>
      <c r="U138" s="98" t="s">
        <v>27</v>
      </c>
      <c r="V138" s="98" t="s">
        <v>28</v>
      </c>
      <c r="W138" s="98" t="s">
        <v>27</v>
      </c>
      <c r="X138" s="98" t="s">
        <v>28</v>
      </c>
      <c r="Y138" s="98" t="s">
        <v>29</v>
      </c>
      <c r="Z138" s="66" t="s">
        <v>30</v>
      </c>
      <c r="AA138" s="153" t="s">
        <v>31</v>
      </c>
      <c r="AB138" s="153"/>
      <c r="AC138" s="153"/>
      <c r="AD138" s="97" t="s">
        <v>164</v>
      </c>
      <c r="AE138" s="98" t="s">
        <v>165</v>
      </c>
      <c r="AF138" s="245"/>
      <c r="AG138" s="98" t="s">
        <v>33</v>
      </c>
      <c r="AH138" s="98" t="s">
        <v>34</v>
      </c>
      <c r="AI138" s="98" t="s">
        <v>32</v>
      </c>
      <c r="AJ138" s="98" t="s">
        <v>32</v>
      </c>
      <c r="AK138" s="98" t="s">
        <v>52</v>
      </c>
      <c r="AL138" s="101" t="s">
        <v>36</v>
      </c>
      <c r="AO138" s="97" t="str">
        <f>informatieblad!$A$6</f>
        <v>FL20</v>
      </c>
      <c r="AP138" s="97" t="str">
        <f>informatieblad!$A$7</f>
        <v>FL30</v>
      </c>
      <c r="AQ138" s="99" t="str">
        <f>informatieblad!$A$8</f>
        <v>FL40</v>
      </c>
      <c r="AR138" s="266" t="str">
        <f>informatieblad!$A$5</f>
        <v>none</v>
      </c>
      <c r="AS138" s="64"/>
      <c r="AT138" s="266" t="s">
        <v>17</v>
      </c>
      <c r="AU138" s="64"/>
      <c r="AV138" s="266" t="s">
        <v>37</v>
      </c>
      <c r="AW138" s="64"/>
      <c r="AX138" s="269" t="s">
        <v>38</v>
      </c>
      <c r="AY138" s="272">
        <f>informatieblad!$B$3</f>
        <v>0</v>
      </c>
      <c r="AZ138" s="264">
        <f>informatieblad!$B$4</f>
        <v>0</v>
      </c>
    </row>
    <row r="139" spans="1:52" ht="15" customHeight="1">
      <c r="A139" s="475"/>
      <c r="B139" s="502" t="str">
        <f>IF($C140&gt;0,IF(MAX(B138,C138)&lt;informatieblad!$Q$4,informatieblad!$P$3,IF(MAX(B138,C138)&gt;informatieblad!$R$4,informatieblad!$P$5,informatieblad!$P$4)),"")</f>
        <v/>
      </c>
      <c r="C139" s="503"/>
      <c r="D139" s="223"/>
      <c r="E139" s="223"/>
      <c r="F139" s="334" t="str">
        <f>A138&amp;"-"&amp;informatieblad!$B$18&amp;"-"&amp;B138&amp;"-"&amp;C138&amp;"-"&amp;D138&amp;"-"&amp;E138&amp;"-"&amp;F138&amp;"-"&amp;B139&amp;"-"&amp;F140</f>
        <v>-RctG---0-0-0--Options None</v>
      </c>
      <c r="G139" s="235"/>
      <c r="H139" s="235"/>
      <c r="I139" s="236"/>
      <c r="T139" s="103">
        <f>A138</f>
        <v>0</v>
      </c>
      <c r="U139" s="104" t="s">
        <v>39</v>
      </c>
      <c r="V139" s="104" t="s">
        <v>39</v>
      </c>
      <c r="W139" s="104" t="s">
        <v>40</v>
      </c>
      <c r="X139" s="104" t="s">
        <v>40</v>
      </c>
      <c r="Y139" s="104" t="s">
        <v>40</v>
      </c>
      <c r="Z139" s="105"/>
      <c r="AA139" s="155" t="s">
        <v>27</v>
      </c>
      <c r="AB139" s="155" t="s">
        <v>40</v>
      </c>
      <c r="AC139" s="155" t="s">
        <v>41</v>
      </c>
      <c r="AD139" s="246" t="s">
        <v>166</v>
      </c>
      <c r="AE139" s="104" t="s">
        <v>167</v>
      </c>
      <c r="AF139" s="247"/>
      <c r="AG139" s="104" t="s">
        <v>44</v>
      </c>
      <c r="AH139" s="104"/>
      <c r="AI139" s="104" t="s">
        <v>40</v>
      </c>
      <c r="AJ139" s="104" t="s">
        <v>41</v>
      </c>
      <c r="AK139" s="108"/>
      <c r="AL139" s="109"/>
      <c r="AO139" s="262" t="str">
        <f>informatieblad!$A$2</f>
        <v>FL20 loose</v>
      </c>
      <c r="AP139" s="262" t="str">
        <f>informatieblad!$A$3</f>
        <v>FL30 loose</v>
      </c>
      <c r="AQ139" s="263" t="str">
        <f>informatieblad!$A$4</f>
        <v>FL40 loose</v>
      </c>
      <c r="AR139" s="282"/>
      <c r="AS139" s="64"/>
      <c r="AT139" s="267"/>
      <c r="AU139" s="64"/>
      <c r="AV139" s="267"/>
      <c r="AW139" s="64"/>
      <c r="AX139" s="265" t="s">
        <v>47</v>
      </c>
      <c r="AY139" s="83" t="s">
        <v>23</v>
      </c>
      <c r="AZ139" s="273" t="s">
        <v>23</v>
      </c>
    </row>
    <row r="140" spans="1:52" ht="15.75" customHeight="1" thickBot="1">
      <c r="A140" s="495"/>
      <c r="B140" s="227" t="s">
        <v>23</v>
      </c>
      <c r="C140" s="237"/>
      <c r="D140" s="229">
        <f>C140*V140</f>
        <v>0</v>
      </c>
      <c r="E140" s="230" t="s">
        <v>24</v>
      </c>
      <c r="F140" s="498" t="s">
        <v>25</v>
      </c>
      <c r="G140" s="452"/>
      <c r="H140" s="452"/>
      <c r="I140" s="453"/>
      <c r="T140" s="111"/>
      <c r="U140" s="112">
        <f>((((2*(B138+C138))*D138)+(B138*(E138-D138))+(C138*(E138-D138))+(2*(B138*AD140)))/1000000)</f>
        <v>0</v>
      </c>
      <c r="V140" s="112">
        <f>((IF(U140&lt;=informatieblad!$I$18,informatieblad!$I$18,IF(U140&gt;=informatieblad!$I$18,U140))))</f>
        <v>0.5</v>
      </c>
      <c r="W140" s="112">
        <f>((((2*(B138+C138))*D138)+(B138*(E138-D138))+(C138*(E138-D138))+(2*(B138*AD140)))/1000000)</f>
        <v>0</v>
      </c>
      <c r="X140" s="112">
        <f>((IF(W140&lt;=informatieblad!$H$18,informatieblad!$H$18,IF(W140&gt;=informatieblad!$H$18,W140))))</f>
        <v>0</v>
      </c>
      <c r="Y140" s="113">
        <f>((X140*AI140)+(X140*AB140))*C140</f>
        <v>0</v>
      </c>
      <c r="Z140" s="114">
        <f>((V140*AJ140)+(V140*AC140))*C140</f>
        <v>0</v>
      </c>
      <c r="AA140" s="115" t="str">
        <f>F140</f>
        <v>Options None</v>
      </c>
      <c r="AB140" s="115">
        <f>VLOOKUP(F140,informatieblad!$A$37:$D$41,2,FALSE)</f>
        <v>0</v>
      </c>
      <c r="AC140" s="115">
        <f>VLOOKUP(F140,informatieblad!$A$37:$D$41,4,FALSE)</f>
        <v>0</v>
      </c>
      <c r="AD140" s="159">
        <f>(SQRT((((TAN(F138*(PI()/180)))*C138)^2)+(C138^2)))</f>
        <v>0</v>
      </c>
      <c r="AE140" s="119">
        <f>ROUND(((TAN(F138*(PI()/180)))*C138),0)</f>
        <v>0</v>
      </c>
      <c r="AF140" s="119"/>
      <c r="AG140" s="119">
        <f>(MAX(B138:C138))</f>
        <v>0</v>
      </c>
      <c r="AH140" s="119">
        <f>LOOKUP(AG140,informatieblad!$C$27:$C$32,informatieblad!$A$27:$A$32)</f>
        <v>0.5</v>
      </c>
      <c r="AI140" s="118">
        <f>VLOOKUP(AH140,informatieblad!$A$27:$M$32,6,FALSE)</f>
        <v>0</v>
      </c>
      <c r="AJ140" s="118">
        <f>VLOOKUP(AH140,informatieblad!$A$27:$M$32,8,FALSE)</f>
        <v>45.1248</v>
      </c>
      <c r="AK140" s="120">
        <f>VLOOKUP(AH140,informatieblad!$A$27:$M$32,13,FALSE)</f>
        <v>4</v>
      </c>
      <c r="AL140" s="121">
        <f>ROUND((AK140*W140),1)</f>
        <v>0</v>
      </c>
      <c r="AO140" s="111">
        <f>(IF(B139=AO138,((2*B138)+(2*C138)),IF(B139=AO139,((2*B138)+(2*C138)),0)))*C140</f>
        <v>0</v>
      </c>
      <c r="AP140" s="111">
        <f>(IF(B139=AP138,((2*B138)+(2*C138)),IF(B139=AP139,((2*B138)+(2*C138)),0)))*C140</f>
        <v>0</v>
      </c>
      <c r="AQ140" s="261">
        <f>(IF(B139=AQ138,((2*B138)+(2*C138)),IF(B139=AQ139,((2*B138)+(2*C138)),0)))*C140</f>
        <v>0</v>
      </c>
      <c r="AR140" s="283">
        <f>(IF(B139=AR138,((2*B138)+(2*C138)),0))*C140</f>
        <v>0</v>
      </c>
      <c r="AS140" s="64"/>
      <c r="AT140" s="268">
        <f>E138*C140</f>
        <v>0</v>
      </c>
      <c r="AU140" s="64"/>
      <c r="AV140" s="268">
        <f>(AG140+100)*C140</f>
        <v>0</v>
      </c>
      <c r="AW140" s="64"/>
      <c r="AX140" s="111" t="str">
        <f>IF(B139=informatieblad!$A$6,informatieblad!$B$6,IF(B139=informatieblad!$A$7,informatieblad!$B$7,IF(B139=informatieblad!$A$8,informatieblad!$B$8,IF(B139=informatieblad!$A$2,informatieblad!$B$2,IF(B139=informatieblad!$A$3,informatieblad!$B$3,IF(B139=informatieblad!$A$4,informatieblad!$B$4,IF(B139=informatieblad!$A$5,informatieblad!$B$5,"")))))))</f>
        <v/>
      </c>
      <c r="AY140" s="276">
        <f>IF(AX140=AY138,(4*C140),0)</f>
        <v>0</v>
      </c>
      <c r="AZ140" s="274">
        <f>IF(AX140=AZ138,(4*C140),0)</f>
        <v>0</v>
      </c>
    </row>
    <row r="141" spans="1:52" ht="15" customHeight="1">
      <c r="AO141" s="284">
        <f>SUM(AO24,AO28,AO32,AO36,AO40,AO44,AO48,AO52,AO56,AO60,AO64,AO68,AO72,AO76,AO80,AO84,AO88,AO92,AO96,AO100,AO104,AO108,AO112,AO116,AO120,AO124,AO128,AO132,AO136,AO140)</f>
        <v>0</v>
      </c>
      <c r="AP141" s="285">
        <f>SUM(AP24,AP28,AP32,AP36,AP40,AP44,AP48,AP52,AP56,AP60,AP64,AP68,AP72,AP76,AP80,AP84,AP88,AP92,AP96,AP100,AP104,AP108,AP112,AP116,AP120,AP124,AP128,AP132,AP136,AP140)</f>
        <v>0</v>
      </c>
      <c r="AQ141" s="285">
        <f>SUM(AQ24,AQ28,AQ32,AQ36,AQ40,AQ44,AQ48,AQ52,AQ56,AQ60,AQ64,AQ68,AQ72,AQ76,AQ80,AQ84,AQ88,AQ92,AQ96,AQ100,AQ104,AQ108,AQ112,AQ116,AQ120,AQ124,AQ128,AQ132,AQ136,AQ140)</f>
        <v>0</v>
      </c>
      <c r="AR141" s="264">
        <f>SUM(AR24,AR28,AR32,AR36,AR40,AR44,AR48,AR52,AR56,AR60,AR64,AR68,AR72,AR76,AR80,AR84,AR88,AR92,AR96,AR100,AR104,AR108,AR112,AR116,AR120,AR124,AR128,AR132,AR136,AR140)</f>
        <v>0</v>
      </c>
      <c r="AS141" s="83"/>
      <c r="AT141" s="285">
        <f>SUM(AT24,AT28,AT32,AT36,AT40,AT44,AT48,AT52,AT56,AT60,AT64,AT68,AT72,AT76,AT80,AT84,AT88,AT92,AT96,AT100,AT104,AT108,AT112,AT116,AT120,AT124,AT128,AT132,AT136,AT140)</f>
        <v>0</v>
      </c>
      <c r="AU141" s="83"/>
      <c r="AV141" s="285">
        <f>SUM(AV24,AV28,AV32,AV36,AV40,AV44,AV48,AV52,AV56,AV60,AV64,AV68,AV72,AV76,AV80,AV84,AV88,AV92,AV96,AV100,AV104,AV108,AV112,AV116,AV120,AV124,AV128,AV132,AV136,AV140)</f>
        <v>0</v>
      </c>
      <c r="AW141" s="83"/>
      <c r="AX141" s="83"/>
      <c r="AY141" s="284">
        <f>SUM(AY24,AY28,AY32,AY36,AY40,AY44,AY48,AY52,AY56,AY60,AY64,AY68,AY72,AY76,AY80,AY84,AY88,AY92,AY96,AY100,AY104,AY108,AY112,AY116,AY120,AY124,AY128,AY132,AY136,AY140)</f>
        <v>0</v>
      </c>
      <c r="AZ141" s="285">
        <f>SUM(AZ24,AZ28,AZ32,AZ36,AZ40,AZ44,AZ48,AZ52,AZ56,AZ60,AZ64,AZ68,AZ72,AZ76,AZ80,AZ84,AZ88,AZ92,AZ96,AZ100,AZ104,AZ108,AZ112,AZ116,AZ120,AZ124,AZ128,AZ132,AZ136,AZ140)</f>
        <v>0</v>
      </c>
    </row>
    <row r="142" spans="1:52" ht="15.75" customHeight="1" thickBot="1">
      <c r="AO142" s="286" t="s">
        <v>66</v>
      </c>
      <c r="AP142" s="287" t="s">
        <v>67</v>
      </c>
      <c r="AQ142" s="287" t="s">
        <v>68</v>
      </c>
      <c r="AR142" s="288" t="s">
        <v>69</v>
      </c>
      <c r="AS142" s="83"/>
      <c r="AT142" s="287" t="s">
        <v>120</v>
      </c>
      <c r="AU142" s="131"/>
      <c r="AV142" s="287" t="s">
        <v>159</v>
      </c>
      <c r="AW142" s="83"/>
      <c r="AX142" s="83"/>
      <c r="AY142" s="286" t="s">
        <v>70</v>
      </c>
      <c r="AZ142" s="287" t="s">
        <v>71</v>
      </c>
    </row>
  </sheetData>
  <sheetProtection algorithmName="SHA-512" hashValue="nckqZ1F4eIADA16kk2rskGLbD6DZ5Rf78XrXEx4B8sGDDJCA61qJri8q2hTTZDZmaQ3NkXT0/JZUOJlX5b+qTQ==" saltValue="Eu7avz2Iypf/wnBswKcZJQ==" spinCount="100000" sheet="1" objects="1" scenarios="1"/>
  <mergeCells count="93">
    <mergeCell ref="A134:A136"/>
    <mergeCell ref="B135:C135"/>
    <mergeCell ref="F136:I136"/>
    <mergeCell ref="A138:A140"/>
    <mergeCell ref="B139:C139"/>
    <mergeCell ref="F140:I140"/>
    <mergeCell ref="A126:A128"/>
    <mergeCell ref="B127:C127"/>
    <mergeCell ref="F128:I128"/>
    <mergeCell ref="A130:A132"/>
    <mergeCell ref="B131:C131"/>
    <mergeCell ref="F132:I132"/>
    <mergeCell ref="A118:A120"/>
    <mergeCell ref="B119:C119"/>
    <mergeCell ref="F120:I120"/>
    <mergeCell ref="A122:A124"/>
    <mergeCell ref="B123:C123"/>
    <mergeCell ref="F124:I124"/>
    <mergeCell ref="A110:A112"/>
    <mergeCell ref="B111:C111"/>
    <mergeCell ref="F112:I112"/>
    <mergeCell ref="A114:A116"/>
    <mergeCell ref="B115:C115"/>
    <mergeCell ref="F116:I116"/>
    <mergeCell ref="A102:A104"/>
    <mergeCell ref="B103:C103"/>
    <mergeCell ref="F104:I104"/>
    <mergeCell ref="A106:A108"/>
    <mergeCell ref="B107:C107"/>
    <mergeCell ref="F108:I108"/>
    <mergeCell ref="A94:A96"/>
    <mergeCell ref="B95:C95"/>
    <mergeCell ref="F96:I96"/>
    <mergeCell ref="A98:A100"/>
    <mergeCell ref="B99:C99"/>
    <mergeCell ref="F100:I100"/>
    <mergeCell ref="A86:A88"/>
    <mergeCell ref="B87:C87"/>
    <mergeCell ref="F88:I88"/>
    <mergeCell ref="A90:A92"/>
    <mergeCell ref="B91:C91"/>
    <mergeCell ref="F92:I92"/>
    <mergeCell ref="A78:A80"/>
    <mergeCell ref="B79:C79"/>
    <mergeCell ref="F80:I80"/>
    <mergeCell ref="A82:A84"/>
    <mergeCell ref="B83:C83"/>
    <mergeCell ref="F84:I84"/>
    <mergeCell ref="A70:A72"/>
    <mergeCell ref="B71:C71"/>
    <mergeCell ref="F72:I72"/>
    <mergeCell ref="A74:A76"/>
    <mergeCell ref="B75:C75"/>
    <mergeCell ref="F76:I76"/>
    <mergeCell ref="A62:A64"/>
    <mergeCell ref="B63:C63"/>
    <mergeCell ref="F64:I64"/>
    <mergeCell ref="A66:A68"/>
    <mergeCell ref="B67:C67"/>
    <mergeCell ref="F68:I68"/>
    <mergeCell ref="A54:A56"/>
    <mergeCell ref="B55:C55"/>
    <mergeCell ref="F56:I56"/>
    <mergeCell ref="A58:A60"/>
    <mergeCell ref="B59:C59"/>
    <mergeCell ref="F60:I60"/>
    <mergeCell ref="A50:A52"/>
    <mergeCell ref="B51:C51"/>
    <mergeCell ref="F52:I52"/>
    <mergeCell ref="A42:A44"/>
    <mergeCell ref="B43:C43"/>
    <mergeCell ref="F44:I44"/>
    <mergeCell ref="A46:A48"/>
    <mergeCell ref="B47:C47"/>
    <mergeCell ref="F48:I48"/>
    <mergeCell ref="A34:A36"/>
    <mergeCell ref="B35:C35"/>
    <mergeCell ref="F36:I36"/>
    <mergeCell ref="A38:A40"/>
    <mergeCell ref="B39:C39"/>
    <mergeCell ref="F40:I40"/>
    <mergeCell ref="A26:A28"/>
    <mergeCell ref="B27:C27"/>
    <mergeCell ref="F28:I28"/>
    <mergeCell ref="A30:A32"/>
    <mergeCell ref="B31:C31"/>
    <mergeCell ref="F32:I32"/>
    <mergeCell ref="A18:A20"/>
    <mergeCell ref="B19:C19"/>
    <mergeCell ref="F20:I20"/>
    <mergeCell ref="A22:A24"/>
    <mergeCell ref="B23:C23"/>
    <mergeCell ref="F24:I24"/>
  </mergeCells>
  <phoneticPr fontId="3" type="noConversion"/>
  <dataValidations disablePrompts="1" count="2">
    <dataValidation type="list" allowBlank="1" showInputMessage="1" showErrorMessage="1" sqref="B23:C23 B27:C27 B31:C31 B35:C35 B39:C39 B43:C43 B47:C47 B51:C51 B55:C55 B59:C59 B63:C63 B67:C67 B71:C71 B75:C75 B79:C79 B83:C83 B87:C87 B91:C91 B95:C95 B99:C99 B103:C103 B107:C107 B111:C111 B115:C115 B119:C119 B123:C123 B127:C127 B131:C131 B135:C135 B139:C139" xr:uid="{E3A78FF2-6B77-4193-93FA-4F4647D72C53}">
      <formula1>Options_flanges</formula1>
    </dataValidation>
    <dataValidation type="list" allowBlank="1" showInputMessage="1" showErrorMessage="1" sqref="F20:I20 F24:I24 F28:I28 F32:I32 F36:I36 F40:I40 F44:I44 F48:I48 F52:I52 F80:I80 F56:I56 F60:I60 F64:I64 F68:I68 F72:I72 F76:I76 F84:I84 F112:I112 F88:I88 F116:I116 F92:I92 F96:I96 F100:I100 F104:I104 F108:I108 F120:I120 F124:I124 F128:I128 F132:I132 F136:I136 F140:I140" xr:uid="{52E8C488-8307-457D-BFBA-22DBEB8C14C0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C3D9E-4A78-4C90-8E0C-47839917C72C}">
  <sheetPr>
    <tabColor theme="5" tint="-0.249977111117893"/>
  </sheetPr>
  <dimension ref="A1:AZ143"/>
  <sheetViews>
    <sheetView showGridLines="0" showZeros="0" view="pageBreakPreview" zoomScaleNormal="100" zoomScaleSheetLayoutView="100" workbookViewId="0">
      <pane xSplit="9" ySplit="17" topLeftCell="J18" activePane="bottomRight" state="frozen"/>
      <selection pane="bottomRight" activeCell="A22" sqref="A22:A24"/>
      <selection pane="bottomLeft" activeCell="A18" sqref="A18"/>
      <selection pane="topRight" activeCell="J1" sqref="J1"/>
    </sheetView>
  </sheetViews>
  <sheetFormatPr defaultColWidth="9.140625" defaultRowHeight="15"/>
  <cols>
    <col min="1" max="6" width="9.140625" style="152"/>
    <col min="7" max="9" width="11.7109375" style="152" customWidth="1"/>
    <col min="10" max="10" width="50.7109375" style="152" customWidth="1"/>
    <col min="11" max="20" width="0" style="152" hidden="1" customWidth="1"/>
    <col min="21" max="21" width="13.140625" style="152" hidden="1" customWidth="1"/>
    <col min="22" max="22" width="19.140625" style="152" hidden="1" customWidth="1"/>
    <col min="23" max="23" width="0" style="152" hidden="1" customWidth="1"/>
    <col min="24" max="24" width="22.140625" style="152" hidden="1" customWidth="1"/>
    <col min="25" max="25" width="24.85546875" style="152" hidden="1" customWidth="1"/>
    <col min="26" max="29" width="20.28515625" style="152" hidden="1" customWidth="1"/>
    <col min="30" max="33" width="0" style="152" hidden="1" customWidth="1"/>
    <col min="34" max="34" width="19.140625" style="152" hidden="1" customWidth="1"/>
    <col min="35" max="36" width="12.85546875" style="152" hidden="1" customWidth="1"/>
    <col min="37" max="40" width="0" style="152" hidden="1" customWidth="1"/>
    <col min="41" max="43" width="14.28515625" style="152" hidden="1" customWidth="1"/>
    <col min="44" max="44" width="13.140625" style="152" hidden="1" customWidth="1"/>
    <col min="45" max="45" width="1.7109375" style="152" hidden="1" customWidth="1"/>
    <col min="46" max="46" width="0" style="152" hidden="1" customWidth="1"/>
    <col min="47" max="47" width="1.7109375" style="152" hidden="1" customWidth="1"/>
    <col min="48" max="48" width="14" style="152" hidden="1" customWidth="1"/>
    <col min="49" max="49" width="1.7109375" style="152" hidden="1" customWidth="1"/>
    <col min="50" max="50" width="14.28515625" style="152" hidden="1" customWidth="1"/>
    <col min="51" max="51" width="11" style="152" hidden="1" customWidth="1"/>
    <col min="52" max="52" width="12.5703125" style="152" hidden="1" customWidth="1"/>
    <col min="53" max="16384" width="9.140625" style="152"/>
  </cols>
  <sheetData>
    <row r="1" spans="1:25">
      <c r="A1" s="205"/>
      <c r="B1" s="206"/>
      <c r="C1" s="206"/>
      <c r="D1" s="206"/>
      <c r="E1" s="206"/>
      <c r="F1" s="206"/>
      <c r="G1" s="206"/>
      <c r="H1" s="206"/>
      <c r="I1" s="207"/>
      <c r="T1" s="248" t="str">
        <f>informatieblad!$F$12&amp;" "&amp;informatieblad!$D$19</f>
        <v>Total aantal of Rechte Aftakkingen  (RctS)</v>
      </c>
      <c r="U1" s="62"/>
      <c r="V1" s="62"/>
      <c r="W1" s="62"/>
      <c r="X1" s="62"/>
      <c r="Y1" s="66">
        <f>C24+C28+C32+C36+C40+C44+C48+C52+C56+C60+C64+C68+C72+C76+C80+C84+C88+C92+C96+C100+C104+C108+C112+C116+C120+C124+C128+C132+C136+C140</f>
        <v>0</v>
      </c>
    </row>
    <row r="2" spans="1:25">
      <c r="A2" s="208"/>
      <c r="I2" s="209"/>
      <c r="T2" s="249" t="str">
        <f>informatieblad!$F$13</f>
        <v>Total purchase price</v>
      </c>
      <c r="U2" s="64"/>
      <c r="V2" s="64"/>
      <c r="W2" s="64"/>
      <c r="X2" s="64"/>
      <c r="Y2" s="343">
        <f>Y24+Y28+Y32+Y36+Y40+Y44+Y48+Y52+Y56+Y60+Y64+Y68+Y72+Y76+Y80+Y84+Y88+Y92+Y96+Y100+Y104+Y108+Y112+Y116+Y120+Y124+Y128+Y132+Y136+Y140</f>
        <v>0</v>
      </c>
    </row>
    <row r="3" spans="1:25" ht="15.75" thickBot="1">
      <c r="A3" s="208"/>
      <c r="I3" s="209"/>
      <c r="T3" s="250" t="str">
        <f>informatieblad!$F$14</f>
        <v>Total sales price</v>
      </c>
      <c r="U3" s="72"/>
      <c r="V3" s="72"/>
      <c r="W3" s="72"/>
      <c r="X3" s="72"/>
      <c r="Y3" s="238">
        <f>Z24+Z28+Z32+Z36+Z40+Z44+Z48+Z52+Z56+Z60+Z64+Z68+Z72+Z76+Z80+Z84+Z88+Z92+Z96+Z100+Z104+Z108+Z112+Z116+Z120+Z124+Z128+Z132+Z136+Z140</f>
        <v>0</v>
      </c>
    </row>
    <row r="4" spans="1:25">
      <c r="A4" s="208"/>
      <c r="I4" s="433" t="str">
        <f>informatieblad!D19</f>
        <v>Rechte Aftakkingen  (RctS)</v>
      </c>
    </row>
    <row r="5" spans="1:25">
      <c r="A5" s="208"/>
      <c r="G5" s="74"/>
      <c r="I5" s="209"/>
    </row>
    <row r="6" spans="1:25">
      <c r="A6" s="208"/>
      <c r="G6" s="75"/>
      <c r="I6" s="209"/>
    </row>
    <row r="7" spans="1:25">
      <c r="A7" s="208"/>
      <c r="G7" s="75"/>
      <c r="I7" s="209"/>
    </row>
    <row r="8" spans="1:25">
      <c r="A8" s="208"/>
      <c r="G8" s="64" t="s">
        <v>157</v>
      </c>
      <c r="I8" s="210">
        <v>100</v>
      </c>
    </row>
    <row r="9" spans="1:25">
      <c r="A9" s="208"/>
      <c r="I9" s="209"/>
    </row>
    <row r="10" spans="1:25">
      <c r="A10" s="208"/>
      <c r="I10" s="209"/>
      <c r="L10" s="64"/>
    </row>
    <row r="11" spans="1:25">
      <c r="A11" s="208"/>
      <c r="I11" s="209"/>
    </row>
    <row r="12" spans="1:25">
      <c r="A12" s="208"/>
      <c r="I12" s="209"/>
    </row>
    <row r="13" spans="1:25">
      <c r="A13" s="208"/>
      <c r="I13" s="209"/>
    </row>
    <row r="14" spans="1:25">
      <c r="A14" s="208"/>
      <c r="I14" s="209"/>
    </row>
    <row r="15" spans="1:25" ht="15.75" thickBot="1">
      <c r="A15" s="211"/>
      <c r="B15" s="212"/>
      <c r="C15" s="212"/>
      <c r="D15" s="212"/>
      <c r="E15" s="212"/>
      <c r="F15" s="212"/>
      <c r="G15" s="212"/>
      <c r="H15" s="212"/>
      <c r="I15" s="213"/>
    </row>
    <row r="16" spans="1:25" ht="5.0999999999999996" customHeight="1" thickBot="1">
      <c r="A16" s="208"/>
      <c r="I16" s="209"/>
    </row>
    <row r="17" spans="1:52" ht="15.75" thickBot="1">
      <c r="A17" s="214" t="s">
        <v>14</v>
      </c>
      <c r="B17" s="215" t="s">
        <v>15</v>
      </c>
      <c r="C17" s="215" t="s">
        <v>16</v>
      </c>
      <c r="D17" s="216" t="s">
        <v>17</v>
      </c>
      <c r="E17" s="217"/>
      <c r="F17" s="217"/>
      <c r="G17" s="217"/>
      <c r="H17" s="217"/>
      <c r="I17" s="218"/>
      <c r="J17" s="280" t="s">
        <v>18</v>
      </c>
    </row>
    <row r="18" spans="1:52" ht="15.75" thickBot="1">
      <c r="A18" s="499" t="s">
        <v>19</v>
      </c>
      <c r="B18" s="219">
        <v>1000</v>
      </c>
      <c r="C18" s="219">
        <v>300</v>
      </c>
      <c r="D18" s="220">
        <v>100</v>
      </c>
      <c r="E18" s="221"/>
      <c r="F18" s="221"/>
      <c r="G18" s="221"/>
      <c r="H18" s="221"/>
      <c r="I18" s="222"/>
      <c r="J18" s="345" t="s">
        <v>20</v>
      </c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3"/>
      <c r="AE18" s="133"/>
      <c r="AF18" s="133"/>
      <c r="AG18" s="133"/>
      <c r="AH18" s="133"/>
      <c r="AI18" s="131"/>
      <c r="AJ18" s="131"/>
      <c r="AK18" s="131"/>
      <c r="AL18" s="131"/>
    </row>
    <row r="19" spans="1:52">
      <c r="A19" s="465"/>
      <c r="B19" s="496" t="s">
        <v>21</v>
      </c>
      <c r="C19" s="497"/>
      <c r="D19" s="223"/>
      <c r="E19" s="223"/>
      <c r="F19" s="224" t="s">
        <v>170</v>
      </c>
      <c r="G19" s="225"/>
      <c r="H19" s="225"/>
      <c r="I19" s="226"/>
      <c r="J19" s="83"/>
      <c r="T19" s="83"/>
      <c r="U19" s="136"/>
      <c r="V19" s="136"/>
      <c r="W19" s="136"/>
      <c r="X19" s="136"/>
      <c r="Y19" s="136"/>
      <c r="Z19" s="83"/>
      <c r="AA19" s="83"/>
      <c r="AB19" s="83"/>
      <c r="AC19" s="83"/>
      <c r="AD19" s="136"/>
      <c r="AE19" s="136"/>
      <c r="AF19" s="75"/>
      <c r="AG19" s="75"/>
      <c r="AH19" s="75"/>
      <c r="AI19" s="136"/>
      <c r="AJ19" s="136"/>
      <c r="AK19" s="83"/>
      <c r="AL19" s="83"/>
    </row>
    <row r="20" spans="1:52" ht="15.75" thickBot="1">
      <c r="A20" s="500"/>
      <c r="B20" s="227" t="s">
        <v>23</v>
      </c>
      <c r="C20" s="228">
        <v>1</v>
      </c>
      <c r="D20" s="229">
        <v>0.5</v>
      </c>
      <c r="E20" s="230" t="s">
        <v>24</v>
      </c>
      <c r="F20" s="501" t="s">
        <v>25</v>
      </c>
      <c r="G20" s="458"/>
      <c r="H20" s="458"/>
      <c r="I20" s="459"/>
      <c r="J20" s="176"/>
      <c r="T20" s="83"/>
      <c r="U20" s="142"/>
      <c r="V20" s="142"/>
      <c r="W20" s="142"/>
      <c r="X20" s="142"/>
      <c r="Y20" s="143"/>
      <c r="Z20" s="143"/>
      <c r="AA20" s="143"/>
      <c r="AB20" s="143"/>
      <c r="AC20" s="143"/>
      <c r="AD20" s="83"/>
      <c r="AE20" s="83"/>
      <c r="AF20" s="83"/>
      <c r="AG20" s="83"/>
      <c r="AH20" s="83"/>
      <c r="AI20" s="144"/>
      <c r="AJ20" s="144"/>
      <c r="AK20" s="142"/>
      <c r="AL20" s="142"/>
    </row>
    <row r="21" spans="1:52" ht="5.0999999999999996" customHeight="1" thickBot="1">
      <c r="A21" s="231"/>
      <c r="B21" s="232"/>
      <c r="C21" s="232"/>
      <c r="D21" s="232"/>
      <c r="E21" s="232"/>
      <c r="F21" s="232"/>
      <c r="G21" s="232"/>
      <c r="H21" s="232"/>
      <c r="I21" s="233"/>
      <c r="J21" s="64"/>
    </row>
    <row r="22" spans="1:52" ht="15.75" thickBot="1">
      <c r="A22" s="494"/>
      <c r="B22" s="234"/>
      <c r="C22" s="234"/>
      <c r="D22" s="220">
        <f>(B22&gt;0)*$I$8</f>
        <v>0</v>
      </c>
      <c r="E22" s="221"/>
      <c r="F22" s="221"/>
      <c r="G22" s="221"/>
      <c r="H22" s="221"/>
      <c r="I22" s="222"/>
      <c r="J22" s="345" t="s">
        <v>20</v>
      </c>
      <c r="T22" s="97" t="s">
        <v>14</v>
      </c>
      <c r="U22" s="98" t="s">
        <v>27</v>
      </c>
      <c r="V22" s="98" t="s">
        <v>28</v>
      </c>
      <c r="W22" s="98" t="s">
        <v>27</v>
      </c>
      <c r="X22" s="98" t="s">
        <v>28</v>
      </c>
      <c r="Y22" s="98" t="s">
        <v>29</v>
      </c>
      <c r="Z22" s="66" t="s">
        <v>30</v>
      </c>
      <c r="AA22" s="153" t="s">
        <v>31</v>
      </c>
      <c r="AB22" s="153"/>
      <c r="AC22" s="153"/>
      <c r="AD22" s="154" t="s">
        <v>83</v>
      </c>
      <c r="AE22" s="100" t="s">
        <v>83</v>
      </c>
      <c r="AF22" s="100" t="s">
        <v>83</v>
      </c>
      <c r="AG22" s="100" t="s">
        <v>33</v>
      </c>
      <c r="AH22" s="100" t="s">
        <v>34</v>
      </c>
      <c r="AI22" s="98" t="s">
        <v>32</v>
      </c>
      <c r="AJ22" s="98" t="s">
        <v>32</v>
      </c>
      <c r="AK22" s="98" t="s">
        <v>35</v>
      </c>
      <c r="AL22" s="101" t="s">
        <v>36</v>
      </c>
      <c r="AO22" s="97" t="str">
        <f>informatieblad!$A$6</f>
        <v>FL20</v>
      </c>
      <c r="AP22" s="97" t="str">
        <f>informatieblad!$A$7</f>
        <v>FL30</v>
      </c>
      <c r="AQ22" s="99" t="str">
        <f>informatieblad!$A$8</f>
        <v>FL40</v>
      </c>
      <c r="AR22" s="266" t="str">
        <f>informatieblad!$A$5</f>
        <v>none</v>
      </c>
      <c r="AS22" s="64"/>
      <c r="AT22" s="266"/>
      <c r="AU22" s="64"/>
      <c r="AV22" s="266" t="s">
        <v>37</v>
      </c>
      <c r="AW22" s="64"/>
      <c r="AX22" s="269" t="s">
        <v>38</v>
      </c>
      <c r="AY22" s="272">
        <f>informatieblad!$B$3</f>
        <v>0</v>
      </c>
      <c r="AZ22" s="264">
        <f>informatieblad!$B$4</f>
        <v>0</v>
      </c>
    </row>
    <row r="23" spans="1:52">
      <c r="A23" s="475"/>
      <c r="B23" s="502" t="str">
        <f>IF($C24&gt;0,IF(MAX(B22,C22)&lt;informatieblad!$Q$4,informatieblad!$P$3,IF(MAX(B22,C22)&gt;informatieblad!$R$4,informatieblad!$P$5,informatieblad!$P$4)),"")</f>
        <v/>
      </c>
      <c r="C23" s="503"/>
      <c r="D23" s="223"/>
      <c r="E23" s="223"/>
      <c r="F23" s="224" t="str">
        <f>A22&amp;"-"&amp;informatieblad!$B$19&amp;"-"&amp;B22&amp;"-"&amp;C22&amp;"-"&amp;D22&amp;"-"&amp;B23&amp;"-"&amp;F24</f>
        <v>-RctS---0--Options None</v>
      </c>
      <c r="G23" s="235"/>
      <c r="H23" s="235"/>
      <c r="I23" s="236"/>
      <c r="J23" s="83"/>
      <c r="T23" s="103">
        <f>A22</f>
        <v>0</v>
      </c>
      <c r="U23" s="104" t="s">
        <v>39</v>
      </c>
      <c r="V23" s="104" t="s">
        <v>39</v>
      </c>
      <c r="W23" s="104" t="s">
        <v>40</v>
      </c>
      <c r="X23" s="104" t="s">
        <v>40</v>
      </c>
      <c r="Y23" s="104" t="s">
        <v>40</v>
      </c>
      <c r="Z23" s="105"/>
      <c r="AA23" s="155" t="s">
        <v>27</v>
      </c>
      <c r="AB23" s="155" t="s">
        <v>40</v>
      </c>
      <c r="AC23" s="155" t="s">
        <v>41</v>
      </c>
      <c r="AD23" s="156" t="s">
        <v>105</v>
      </c>
      <c r="AE23" s="104" t="s">
        <v>106</v>
      </c>
      <c r="AF23" s="107" t="s">
        <v>87</v>
      </c>
      <c r="AG23" s="107" t="s">
        <v>44</v>
      </c>
      <c r="AH23" s="107"/>
      <c r="AI23" s="104" t="s">
        <v>40</v>
      </c>
      <c r="AJ23" s="104" t="s">
        <v>41</v>
      </c>
      <c r="AK23" s="108"/>
      <c r="AL23" s="109"/>
      <c r="AO23" s="262" t="str">
        <f>informatieblad!$A$2</f>
        <v>FL20 loose</v>
      </c>
      <c r="AP23" s="262" t="str">
        <f>informatieblad!$A$3</f>
        <v>FL30 loose</v>
      </c>
      <c r="AQ23" s="263" t="str">
        <f>informatieblad!$A$4</f>
        <v>FL40 loose</v>
      </c>
      <c r="AR23" s="282"/>
      <c r="AS23" s="64"/>
      <c r="AT23" s="267"/>
      <c r="AU23" s="64"/>
      <c r="AV23" s="267"/>
      <c r="AW23" s="64"/>
      <c r="AX23" s="265" t="s">
        <v>47</v>
      </c>
      <c r="AY23" s="83" t="s">
        <v>23</v>
      </c>
      <c r="AZ23" s="273" t="s">
        <v>23</v>
      </c>
    </row>
    <row r="24" spans="1:52" ht="15.75" thickBot="1">
      <c r="A24" s="495"/>
      <c r="B24" s="227" t="s">
        <v>23</v>
      </c>
      <c r="C24" s="237"/>
      <c r="D24" s="229">
        <f>C24*V24</f>
        <v>0</v>
      </c>
      <c r="E24" s="230" t="s">
        <v>24</v>
      </c>
      <c r="F24" s="498" t="s">
        <v>25</v>
      </c>
      <c r="G24" s="452"/>
      <c r="H24" s="452"/>
      <c r="I24" s="453"/>
      <c r="J24" s="176"/>
      <c r="T24" s="111"/>
      <c r="U24" s="112">
        <f>(((2*(B22+C22))*(D22+25)))/1000000</f>
        <v>0</v>
      </c>
      <c r="V24" s="112">
        <f>((IF(U24&lt;=informatieblad!$I$19,informatieblad!$I$19,IF(U24&gt;=informatieblad!$I$19,U24))))</f>
        <v>0.5</v>
      </c>
      <c r="W24" s="112">
        <f>(((2*(B22+C22))*(D22+25)))/1000000</f>
        <v>0</v>
      </c>
      <c r="X24" s="112">
        <f>((IF(W24&lt;=informatieblad!$H$19,informatieblad!$H$19,IF(W24&gt;=informatieblad!$H$19,W24))))</f>
        <v>0</v>
      </c>
      <c r="Y24" s="113">
        <f>((X24*AI24)+(X24*AB24))*C24</f>
        <v>0</v>
      </c>
      <c r="Z24" s="114">
        <f>((V24*AJ24)+(V24*AC24))*C24</f>
        <v>0</v>
      </c>
      <c r="AA24" s="115" t="str">
        <f>F24</f>
        <v>Options None</v>
      </c>
      <c r="AB24" s="115">
        <f>VLOOKUP(F24,informatieblad!$A$37:$D$41,2,FALSE)</f>
        <v>0</v>
      </c>
      <c r="AC24" s="115">
        <f>VLOOKUP(F24,informatieblad!$A$37:$D$41,4,FALSE)</f>
        <v>0</v>
      </c>
      <c r="AD24" s="180">
        <f>(MAX(K22,L22))</f>
        <v>0</v>
      </c>
      <c r="AE24" s="119">
        <f>(MAX(M22,N22))</f>
        <v>0</v>
      </c>
      <c r="AF24" s="119">
        <f>(MAX(K22,M22))</f>
        <v>0</v>
      </c>
      <c r="AG24" s="119">
        <f>(MAX(B22:C22))</f>
        <v>0</v>
      </c>
      <c r="AH24" s="119">
        <f>LOOKUP(AG24,informatieblad!$C$27:$C$32,informatieblad!$A$27:$A$32)</f>
        <v>0.5</v>
      </c>
      <c r="AI24" s="118">
        <f>VLOOKUP(AH24,informatieblad!$A$27:$M$32,6,FALSE)</f>
        <v>0</v>
      </c>
      <c r="AJ24" s="118">
        <f>VLOOKUP(AH24,informatieblad!$A$27:$M$32,8,FALSE)</f>
        <v>45.1248</v>
      </c>
      <c r="AK24" s="120">
        <f>VLOOKUP(AH24,informatieblad!$A$27:$M$32,13,FALSE)</f>
        <v>4</v>
      </c>
      <c r="AL24" s="121">
        <f>ROUND((AK24*W24),1)</f>
        <v>0</v>
      </c>
      <c r="AO24" s="111">
        <f>(IF(B23=AO22,((2*B22)+(2*C22)),IF(B23=AO23,((2*B22)+(2*C22)),0)))*C24</f>
        <v>0</v>
      </c>
      <c r="AP24" s="111">
        <f>(IF(B23=AP22,((2*B22)+(2*C22)),IF(B23=AP23,((2*B22)+(2*C22)),0)))*C24</f>
        <v>0</v>
      </c>
      <c r="AQ24" s="261">
        <f>(IF(B23=AQ22,((2*B22)+(2*C22)),IF(B23=AQ23,((2*B22)+(2*C22)),0)))*C24</f>
        <v>0</v>
      </c>
      <c r="AR24" s="283">
        <f>(IF(B23=AR22,((2*B22)+(2*C22)),0))*C24</f>
        <v>0</v>
      </c>
      <c r="AS24" s="64"/>
      <c r="AT24" s="268"/>
      <c r="AU24" s="64"/>
      <c r="AV24" s="268">
        <f>(AG24+100)*C24</f>
        <v>0</v>
      </c>
      <c r="AW24" s="64"/>
      <c r="AX24" s="111" t="str">
        <f>IF(B23=informatieblad!$A$6,informatieblad!$B$6,IF(B23=informatieblad!$A$7,informatieblad!$B$7,IF(B23=informatieblad!$A$8,informatieblad!$B$8,IF(B23=informatieblad!$A$2,informatieblad!$B$2,IF(B23=informatieblad!$A$3,informatieblad!$B$3,IF(B23=informatieblad!$A$4,informatieblad!$B$4,IF(B23=informatieblad!$A$5,informatieblad!$B$5,"")))))))</f>
        <v/>
      </c>
      <c r="AY24" s="276">
        <f>IF(AX24=AY22,(4*C24),0)</f>
        <v>0</v>
      </c>
      <c r="AZ24" s="274">
        <f>IF(AX24=AZ22,(4*C24),0)</f>
        <v>0</v>
      </c>
    </row>
    <row r="25" spans="1:52" ht="5.0999999999999996" customHeight="1" thickBot="1">
      <c r="A25" s="231"/>
      <c r="B25" s="232"/>
      <c r="C25" s="232"/>
      <c r="D25" s="232"/>
      <c r="E25" s="232"/>
      <c r="F25" s="232"/>
      <c r="G25" s="232"/>
      <c r="H25" s="232"/>
      <c r="I25" s="233"/>
      <c r="J25" s="64"/>
    </row>
    <row r="26" spans="1:52" ht="15.75" thickBot="1">
      <c r="A26" s="494"/>
      <c r="B26" s="234"/>
      <c r="C26" s="234"/>
      <c r="D26" s="220">
        <f>(B26&gt;0)*$I$8</f>
        <v>0</v>
      </c>
      <c r="E26" s="221"/>
      <c r="F26" s="221"/>
      <c r="G26" s="221"/>
      <c r="H26" s="221"/>
      <c r="I26" s="222"/>
      <c r="J26" s="345" t="s">
        <v>20</v>
      </c>
      <c r="T26" s="97" t="s">
        <v>14</v>
      </c>
      <c r="U26" s="98" t="s">
        <v>27</v>
      </c>
      <c r="V26" s="98" t="s">
        <v>28</v>
      </c>
      <c r="W26" s="98" t="s">
        <v>27</v>
      </c>
      <c r="X26" s="98" t="s">
        <v>28</v>
      </c>
      <c r="Y26" s="98" t="s">
        <v>29</v>
      </c>
      <c r="Z26" s="66" t="s">
        <v>30</v>
      </c>
      <c r="AA26" s="153" t="s">
        <v>31</v>
      </c>
      <c r="AB26" s="153"/>
      <c r="AC26" s="153"/>
      <c r="AD26" s="154" t="s">
        <v>83</v>
      </c>
      <c r="AE26" s="100" t="s">
        <v>83</v>
      </c>
      <c r="AF26" s="100" t="s">
        <v>83</v>
      </c>
      <c r="AG26" s="100" t="s">
        <v>33</v>
      </c>
      <c r="AH26" s="100" t="s">
        <v>34</v>
      </c>
      <c r="AI26" s="98" t="s">
        <v>32</v>
      </c>
      <c r="AJ26" s="98" t="s">
        <v>32</v>
      </c>
      <c r="AK26" s="98" t="s">
        <v>35</v>
      </c>
      <c r="AL26" s="101" t="s">
        <v>36</v>
      </c>
      <c r="AO26" s="97" t="str">
        <f>informatieblad!$A$6</f>
        <v>FL20</v>
      </c>
      <c r="AP26" s="97" t="str">
        <f>informatieblad!$A$7</f>
        <v>FL30</v>
      </c>
      <c r="AQ26" s="99" t="str">
        <f>informatieblad!$A$8</f>
        <v>FL40</v>
      </c>
      <c r="AR26" s="266" t="str">
        <f>informatieblad!$A$5</f>
        <v>none</v>
      </c>
      <c r="AS26" s="64"/>
      <c r="AT26" s="266"/>
      <c r="AU26" s="64"/>
      <c r="AV26" s="266" t="s">
        <v>37</v>
      </c>
      <c r="AW26" s="64"/>
      <c r="AX26" s="269" t="s">
        <v>38</v>
      </c>
      <c r="AY26" s="272">
        <f>informatieblad!$B$3</f>
        <v>0</v>
      </c>
      <c r="AZ26" s="264">
        <f>informatieblad!$B$4</f>
        <v>0</v>
      </c>
    </row>
    <row r="27" spans="1:52">
      <c r="A27" s="475"/>
      <c r="B27" s="502" t="str">
        <f>IF($C28&gt;0,IF(MAX(B26,C26)&lt;informatieblad!$Q$4,informatieblad!$P$3,IF(MAX(B26,C26)&gt;informatieblad!$R$4,informatieblad!$P$5,informatieblad!$P$4)),"")</f>
        <v/>
      </c>
      <c r="C27" s="503"/>
      <c r="D27" s="223"/>
      <c r="E27" s="223"/>
      <c r="F27" s="224" t="str">
        <f>A26&amp;"-"&amp;informatieblad!$B$19&amp;"-"&amp;B26&amp;"-"&amp;C26&amp;"-"&amp;D26&amp;"-"&amp;B27&amp;"-"&amp;F28</f>
        <v>-RctS---0--Options None</v>
      </c>
      <c r="G27" s="235"/>
      <c r="H27" s="235"/>
      <c r="I27" s="236"/>
      <c r="J27" s="83"/>
      <c r="T27" s="103">
        <f>A26</f>
        <v>0</v>
      </c>
      <c r="U27" s="104" t="s">
        <v>39</v>
      </c>
      <c r="V27" s="104" t="s">
        <v>39</v>
      </c>
      <c r="W27" s="104" t="s">
        <v>40</v>
      </c>
      <c r="X27" s="104" t="s">
        <v>40</v>
      </c>
      <c r="Y27" s="104" t="s">
        <v>40</v>
      </c>
      <c r="Z27" s="105"/>
      <c r="AA27" s="155" t="s">
        <v>27</v>
      </c>
      <c r="AB27" s="155" t="s">
        <v>40</v>
      </c>
      <c r="AC27" s="155" t="s">
        <v>41</v>
      </c>
      <c r="AD27" s="156" t="s">
        <v>105</v>
      </c>
      <c r="AE27" s="104" t="s">
        <v>106</v>
      </c>
      <c r="AF27" s="107" t="s">
        <v>87</v>
      </c>
      <c r="AG27" s="107" t="s">
        <v>44</v>
      </c>
      <c r="AH27" s="107"/>
      <c r="AI27" s="104" t="s">
        <v>40</v>
      </c>
      <c r="AJ27" s="104" t="s">
        <v>41</v>
      </c>
      <c r="AK27" s="108"/>
      <c r="AL27" s="109"/>
      <c r="AO27" s="262" t="str">
        <f>informatieblad!$A$2</f>
        <v>FL20 loose</v>
      </c>
      <c r="AP27" s="262" t="str">
        <f>informatieblad!$A$3</f>
        <v>FL30 loose</v>
      </c>
      <c r="AQ27" s="263" t="str">
        <f>informatieblad!$A$4</f>
        <v>FL40 loose</v>
      </c>
      <c r="AR27" s="282"/>
      <c r="AS27" s="64"/>
      <c r="AT27" s="267"/>
      <c r="AU27" s="64"/>
      <c r="AV27" s="267"/>
      <c r="AW27" s="64"/>
      <c r="AX27" s="265" t="s">
        <v>47</v>
      </c>
      <c r="AY27" s="83" t="s">
        <v>23</v>
      </c>
      <c r="AZ27" s="273" t="s">
        <v>23</v>
      </c>
    </row>
    <row r="28" spans="1:52" ht="15.75" thickBot="1">
      <c r="A28" s="495"/>
      <c r="B28" s="227" t="s">
        <v>23</v>
      </c>
      <c r="C28" s="237"/>
      <c r="D28" s="229">
        <f>C28*V28</f>
        <v>0</v>
      </c>
      <c r="E28" s="230" t="s">
        <v>24</v>
      </c>
      <c r="F28" s="498" t="s">
        <v>25</v>
      </c>
      <c r="G28" s="452"/>
      <c r="H28" s="452"/>
      <c r="I28" s="453"/>
      <c r="J28" s="176"/>
      <c r="T28" s="111"/>
      <c r="U28" s="112">
        <f>(((2*(B26+C26))*(D26+25)))/1000000</f>
        <v>0</v>
      </c>
      <c r="V28" s="112">
        <f>((IF(U28&lt;=informatieblad!$I$19,informatieblad!$I$19,IF(U28&gt;=informatieblad!$I$19,U28))))</f>
        <v>0.5</v>
      </c>
      <c r="W28" s="112">
        <f>(((2*(B26+C26))*(D26+25)))/1000000</f>
        <v>0</v>
      </c>
      <c r="X28" s="112">
        <f>((IF(W28&lt;=informatieblad!$H$19,informatieblad!$H$19,IF(W28&gt;=informatieblad!$H$19,W28))))</f>
        <v>0</v>
      </c>
      <c r="Y28" s="113">
        <f>((X28*AI28)+(X28*AB28))*C28</f>
        <v>0</v>
      </c>
      <c r="Z28" s="114">
        <f>((V28*AJ28)+(V28*AC28))*C28</f>
        <v>0</v>
      </c>
      <c r="AA28" s="115" t="str">
        <f>F28</f>
        <v>Options None</v>
      </c>
      <c r="AB28" s="115">
        <f>VLOOKUP(F28,informatieblad!$A$37:$D$41,2,FALSE)</f>
        <v>0</v>
      </c>
      <c r="AC28" s="115">
        <f>VLOOKUP(F28,informatieblad!$A$37:$D$41,4,FALSE)</f>
        <v>0</v>
      </c>
      <c r="AD28" s="180">
        <f>(MAX(K26,L26))</f>
        <v>0</v>
      </c>
      <c r="AE28" s="119">
        <f>(MAX(M26,N26))</f>
        <v>0</v>
      </c>
      <c r="AF28" s="119">
        <f>(MAX(K26,M26))</f>
        <v>0</v>
      </c>
      <c r="AG28" s="119">
        <f>(MAX(B26:C26))</f>
        <v>0</v>
      </c>
      <c r="AH28" s="119">
        <f>LOOKUP(AG28,informatieblad!$C$27:$C$32,informatieblad!$A$27:$A$32)</f>
        <v>0.5</v>
      </c>
      <c r="AI28" s="118">
        <f>VLOOKUP(AH28,informatieblad!$A$27:$M$32,6,FALSE)</f>
        <v>0</v>
      </c>
      <c r="AJ28" s="118">
        <f>VLOOKUP(AH28,informatieblad!$A$27:$M$32,8,FALSE)</f>
        <v>45.1248</v>
      </c>
      <c r="AK28" s="120">
        <f>VLOOKUP(AH28,informatieblad!$A$27:$M$32,13,FALSE)</f>
        <v>4</v>
      </c>
      <c r="AL28" s="121">
        <f>ROUND((AK28*W28),1)</f>
        <v>0</v>
      </c>
      <c r="AO28" s="111">
        <f>(IF(B27=AO26,((2*B26)+(2*C26)),IF(B27=AO27,((2*B26)+(2*C26)),0)))*C28</f>
        <v>0</v>
      </c>
      <c r="AP28" s="111">
        <f>(IF(B27=AP26,((2*B26)+(2*C26)),IF(B27=AP27,((2*B26)+(2*C26)),0)))*C28</f>
        <v>0</v>
      </c>
      <c r="AQ28" s="261">
        <f>(IF(B27=AQ26,((2*B26)+(2*C26)),IF(B27=AQ27,((2*B26)+(2*C26)),0)))*C28</f>
        <v>0</v>
      </c>
      <c r="AR28" s="283">
        <f>(IF(B27=AR26,((2*B26)+(2*C26)),0))*C28</f>
        <v>0</v>
      </c>
      <c r="AS28" s="64"/>
      <c r="AT28" s="268"/>
      <c r="AU28" s="64"/>
      <c r="AV28" s="268">
        <f>(AG28+100)*C28</f>
        <v>0</v>
      </c>
      <c r="AW28" s="64"/>
      <c r="AX28" s="111" t="str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/>
      </c>
      <c r="AY28" s="276">
        <f>IF(AX28=AY26,(4*C28),0)</f>
        <v>0</v>
      </c>
      <c r="AZ28" s="274">
        <f>IF(AX28=AZ26,(4*C28),0)</f>
        <v>0</v>
      </c>
    </row>
    <row r="29" spans="1:52" ht="5.0999999999999996" customHeight="1" thickBot="1">
      <c r="A29" s="231"/>
      <c r="B29" s="232"/>
      <c r="C29" s="232"/>
      <c r="D29" s="232"/>
      <c r="E29" s="232"/>
      <c r="F29" s="232"/>
      <c r="G29" s="232"/>
      <c r="H29" s="232"/>
      <c r="I29" s="233"/>
      <c r="J29" s="64"/>
    </row>
    <row r="30" spans="1:52" ht="15.75" thickBot="1">
      <c r="A30" s="494"/>
      <c r="B30" s="234"/>
      <c r="C30" s="234"/>
      <c r="D30" s="220">
        <f>(B30&gt;0)*$I$8</f>
        <v>0</v>
      </c>
      <c r="E30" s="221"/>
      <c r="F30" s="221"/>
      <c r="G30" s="221"/>
      <c r="H30" s="221"/>
      <c r="I30" s="222"/>
      <c r="J30" s="345" t="s">
        <v>20</v>
      </c>
      <c r="T30" s="97" t="s">
        <v>14</v>
      </c>
      <c r="U30" s="98" t="s">
        <v>27</v>
      </c>
      <c r="V30" s="98" t="s">
        <v>28</v>
      </c>
      <c r="W30" s="98" t="s">
        <v>27</v>
      </c>
      <c r="X30" s="98" t="s">
        <v>28</v>
      </c>
      <c r="Y30" s="98" t="s">
        <v>29</v>
      </c>
      <c r="Z30" s="66" t="s">
        <v>30</v>
      </c>
      <c r="AA30" s="153" t="s">
        <v>31</v>
      </c>
      <c r="AB30" s="153"/>
      <c r="AC30" s="153"/>
      <c r="AD30" s="154" t="s">
        <v>83</v>
      </c>
      <c r="AE30" s="100" t="s">
        <v>83</v>
      </c>
      <c r="AF30" s="100" t="s">
        <v>83</v>
      </c>
      <c r="AG30" s="100" t="s">
        <v>33</v>
      </c>
      <c r="AH30" s="100" t="s">
        <v>34</v>
      </c>
      <c r="AI30" s="98" t="s">
        <v>32</v>
      </c>
      <c r="AJ30" s="98" t="s">
        <v>32</v>
      </c>
      <c r="AK30" s="98" t="s">
        <v>35</v>
      </c>
      <c r="AL30" s="101" t="s">
        <v>36</v>
      </c>
      <c r="AO30" s="97" t="str">
        <f>informatieblad!$A$6</f>
        <v>FL20</v>
      </c>
      <c r="AP30" s="97" t="str">
        <f>informatieblad!$A$7</f>
        <v>FL30</v>
      </c>
      <c r="AQ30" s="99" t="str">
        <f>informatieblad!$A$8</f>
        <v>FL40</v>
      </c>
      <c r="AR30" s="266" t="str">
        <f>informatieblad!$A$5</f>
        <v>none</v>
      </c>
      <c r="AS30" s="64"/>
      <c r="AT30" s="266"/>
      <c r="AU30" s="64"/>
      <c r="AV30" s="266" t="s">
        <v>37</v>
      </c>
      <c r="AW30" s="64"/>
      <c r="AX30" s="269" t="s">
        <v>38</v>
      </c>
      <c r="AY30" s="272">
        <f>informatieblad!$B$3</f>
        <v>0</v>
      </c>
      <c r="AZ30" s="264">
        <f>informatieblad!$B$4</f>
        <v>0</v>
      </c>
    </row>
    <row r="31" spans="1:52">
      <c r="A31" s="475"/>
      <c r="B31" s="502" t="str">
        <f>IF($C32&gt;0,IF(MAX(B30,C30)&lt;informatieblad!$Q$4,informatieblad!$P$3,IF(MAX(B30,C30)&gt;informatieblad!$R$4,informatieblad!$P$5,informatieblad!$P$4)),"")</f>
        <v/>
      </c>
      <c r="C31" s="503"/>
      <c r="D31" s="223"/>
      <c r="E31" s="223"/>
      <c r="F31" s="224" t="str">
        <f>A30&amp;"-"&amp;informatieblad!$B$19&amp;"-"&amp;B30&amp;"-"&amp;C30&amp;"-"&amp;D30&amp;"-"&amp;B31&amp;"-"&amp;F32</f>
        <v>-RctS---0--Options None</v>
      </c>
      <c r="G31" s="235"/>
      <c r="H31" s="235"/>
      <c r="I31" s="236"/>
      <c r="J31" s="83"/>
      <c r="T31" s="103">
        <f>A30</f>
        <v>0</v>
      </c>
      <c r="U31" s="104" t="s">
        <v>39</v>
      </c>
      <c r="V31" s="104" t="s">
        <v>39</v>
      </c>
      <c r="W31" s="104" t="s">
        <v>40</v>
      </c>
      <c r="X31" s="104" t="s">
        <v>40</v>
      </c>
      <c r="Y31" s="104" t="s">
        <v>40</v>
      </c>
      <c r="Z31" s="105"/>
      <c r="AA31" s="155" t="s">
        <v>27</v>
      </c>
      <c r="AB31" s="155" t="s">
        <v>40</v>
      </c>
      <c r="AC31" s="155" t="s">
        <v>41</v>
      </c>
      <c r="AD31" s="156" t="s">
        <v>105</v>
      </c>
      <c r="AE31" s="104" t="s">
        <v>106</v>
      </c>
      <c r="AF31" s="107" t="s">
        <v>87</v>
      </c>
      <c r="AG31" s="107" t="s">
        <v>44</v>
      </c>
      <c r="AH31" s="107"/>
      <c r="AI31" s="104" t="s">
        <v>40</v>
      </c>
      <c r="AJ31" s="104" t="s">
        <v>41</v>
      </c>
      <c r="AK31" s="108"/>
      <c r="AL31" s="109"/>
      <c r="AO31" s="262" t="str">
        <f>informatieblad!$A$2</f>
        <v>FL20 loose</v>
      </c>
      <c r="AP31" s="262" t="str">
        <f>informatieblad!$A$3</f>
        <v>FL30 loose</v>
      </c>
      <c r="AQ31" s="263" t="str">
        <f>informatieblad!$A$4</f>
        <v>FL40 loose</v>
      </c>
      <c r="AR31" s="282"/>
      <c r="AS31" s="64"/>
      <c r="AT31" s="267"/>
      <c r="AU31" s="64"/>
      <c r="AV31" s="267"/>
      <c r="AW31" s="64"/>
      <c r="AX31" s="265" t="s">
        <v>47</v>
      </c>
      <c r="AY31" s="83" t="s">
        <v>23</v>
      </c>
      <c r="AZ31" s="273" t="s">
        <v>23</v>
      </c>
    </row>
    <row r="32" spans="1:52" ht="15.75" thickBot="1">
      <c r="A32" s="495"/>
      <c r="B32" s="227" t="s">
        <v>23</v>
      </c>
      <c r="C32" s="237"/>
      <c r="D32" s="229">
        <f>C32*V32</f>
        <v>0</v>
      </c>
      <c r="E32" s="230" t="s">
        <v>24</v>
      </c>
      <c r="F32" s="498" t="s">
        <v>25</v>
      </c>
      <c r="G32" s="452"/>
      <c r="H32" s="452"/>
      <c r="I32" s="453"/>
      <c r="J32" s="176"/>
      <c r="T32" s="111"/>
      <c r="U32" s="112">
        <f>(((2*(B30+C30))*(D30+25)))/1000000</f>
        <v>0</v>
      </c>
      <c r="V32" s="112">
        <f>((IF(U32&lt;=informatieblad!$I$19,informatieblad!$I$19,IF(U32&gt;=informatieblad!$I$19,U32))))</f>
        <v>0.5</v>
      </c>
      <c r="W32" s="112">
        <f>(((2*(B30+C30))*(D30+25)))/1000000</f>
        <v>0</v>
      </c>
      <c r="X32" s="112">
        <f>((IF(W32&lt;=informatieblad!$H$19,informatieblad!$H$19,IF(W32&gt;=informatieblad!$H$19,W32))))</f>
        <v>0</v>
      </c>
      <c r="Y32" s="113">
        <f>((X32*AI32)+(X32*AB32))*C32</f>
        <v>0</v>
      </c>
      <c r="Z32" s="114">
        <f>((V32*AJ32)+(V32*AC32))*C32</f>
        <v>0</v>
      </c>
      <c r="AA32" s="115" t="str">
        <f>F32</f>
        <v>Options None</v>
      </c>
      <c r="AB32" s="115">
        <f>VLOOKUP(F32,informatieblad!$A$37:$D$41,2,FALSE)</f>
        <v>0</v>
      </c>
      <c r="AC32" s="115">
        <f>VLOOKUP(F32,informatieblad!$A$37:$D$41,4,FALSE)</f>
        <v>0</v>
      </c>
      <c r="AD32" s="180">
        <f>(MAX(K30,L30))</f>
        <v>0</v>
      </c>
      <c r="AE32" s="119">
        <f>(MAX(M30,N30))</f>
        <v>0</v>
      </c>
      <c r="AF32" s="119">
        <f>(MAX(K30,M30))</f>
        <v>0</v>
      </c>
      <c r="AG32" s="119">
        <f>(MAX(B30:C30))</f>
        <v>0</v>
      </c>
      <c r="AH32" s="119">
        <f>LOOKUP(AG32,informatieblad!$C$27:$C$32,informatieblad!$A$27:$A$32)</f>
        <v>0.5</v>
      </c>
      <c r="AI32" s="118">
        <f>VLOOKUP(AH32,informatieblad!$A$27:$M$32,6,FALSE)</f>
        <v>0</v>
      </c>
      <c r="AJ32" s="118">
        <f>VLOOKUP(AH32,informatieblad!$A$27:$M$32,8,FALSE)</f>
        <v>45.1248</v>
      </c>
      <c r="AK32" s="120">
        <f>VLOOKUP(AH32,informatieblad!$A$27:$M$32,13,FALSE)</f>
        <v>4</v>
      </c>
      <c r="AL32" s="121">
        <f>ROUND((AK32*W32),1)</f>
        <v>0</v>
      </c>
      <c r="AO32" s="111">
        <f>(IF(B31=AO30,((2*B30)+(2*C30)),IF(B31=AO31,((2*B30)+(2*C30)),0)))*C32</f>
        <v>0</v>
      </c>
      <c r="AP32" s="111">
        <f>(IF(B31=AP30,((2*B30)+(2*C30)),IF(B31=AP31,((2*B30)+(2*C30)),0)))*C32</f>
        <v>0</v>
      </c>
      <c r="AQ32" s="261">
        <f>(IF(B31=AQ30,((2*B30)+(2*C30)),IF(B31=AQ31,((2*B30)+(2*C30)),0)))*C32</f>
        <v>0</v>
      </c>
      <c r="AR32" s="283">
        <f>(IF(B31=AR30,((2*B30)+(2*C30)),0))*C32</f>
        <v>0</v>
      </c>
      <c r="AS32" s="64"/>
      <c r="AT32" s="268"/>
      <c r="AU32" s="64"/>
      <c r="AV32" s="268">
        <f>(AG32+100)*C32</f>
        <v>0</v>
      </c>
      <c r="AW32" s="64"/>
      <c r="AX32" s="111" t="str">
        <f>IF(B31=informatieblad!$A$6,informatieblad!$B$6,IF(B31=informatieblad!$A$7,informatieblad!$B$7,IF(B31=informatieblad!$A$8,informatieblad!$B$8,IF(B31=informatieblad!$A$2,informatieblad!$B$2,IF(B31=informatieblad!$A$3,informatieblad!$B$3,IF(B31=informatieblad!$A$4,informatieblad!$B$4,IF(B31=informatieblad!$A$5,informatieblad!$B$5,"")))))))</f>
        <v/>
      </c>
      <c r="AY32" s="276">
        <f>IF(AX32=AY30,(4*C32),0)</f>
        <v>0</v>
      </c>
      <c r="AZ32" s="274">
        <f>IF(AX32=AZ30,(4*C32),0)</f>
        <v>0</v>
      </c>
    </row>
    <row r="33" spans="1:52" ht="5.0999999999999996" customHeight="1" thickBot="1">
      <c r="A33" s="231"/>
      <c r="B33" s="232"/>
      <c r="C33" s="232"/>
      <c r="D33" s="232"/>
      <c r="E33" s="232"/>
      <c r="F33" s="232"/>
      <c r="G33" s="232"/>
      <c r="H33" s="232"/>
      <c r="I33" s="233"/>
      <c r="J33" s="64"/>
    </row>
    <row r="34" spans="1:52" ht="15.75" thickBot="1">
      <c r="A34" s="494"/>
      <c r="B34" s="234"/>
      <c r="C34" s="234"/>
      <c r="D34" s="220">
        <f>(B34&gt;0)*$I$8</f>
        <v>0</v>
      </c>
      <c r="E34" s="221"/>
      <c r="F34" s="221"/>
      <c r="G34" s="221"/>
      <c r="H34" s="221"/>
      <c r="I34" s="222"/>
      <c r="J34" s="345" t="s">
        <v>20</v>
      </c>
      <c r="T34" s="97" t="s">
        <v>14</v>
      </c>
      <c r="U34" s="98" t="s">
        <v>27</v>
      </c>
      <c r="V34" s="98" t="s">
        <v>28</v>
      </c>
      <c r="W34" s="98" t="s">
        <v>27</v>
      </c>
      <c r="X34" s="98" t="s">
        <v>28</v>
      </c>
      <c r="Y34" s="98" t="s">
        <v>29</v>
      </c>
      <c r="Z34" s="66" t="s">
        <v>30</v>
      </c>
      <c r="AA34" s="153" t="s">
        <v>31</v>
      </c>
      <c r="AB34" s="153"/>
      <c r="AC34" s="153"/>
      <c r="AD34" s="154" t="s">
        <v>83</v>
      </c>
      <c r="AE34" s="100" t="s">
        <v>83</v>
      </c>
      <c r="AF34" s="100" t="s">
        <v>83</v>
      </c>
      <c r="AG34" s="100" t="s">
        <v>33</v>
      </c>
      <c r="AH34" s="100" t="s">
        <v>34</v>
      </c>
      <c r="AI34" s="98" t="s">
        <v>32</v>
      </c>
      <c r="AJ34" s="98" t="s">
        <v>32</v>
      </c>
      <c r="AK34" s="98" t="s">
        <v>35</v>
      </c>
      <c r="AL34" s="101" t="s">
        <v>36</v>
      </c>
      <c r="AO34" s="97" t="str">
        <f>informatieblad!$A$6</f>
        <v>FL20</v>
      </c>
      <c r="AP34" s="97" t="str">
        <f>informatieblad!$A$7</f>
        <v>FL30</v>
      </c>
      <c r="AQ34" s="99" t="str">
        <f>informatieblad!$A$8</f>
        <v>FL40</v>
      </c>
      <c r="AR34" s="266" t="str">
        <f>informatieblad!$A$5</f>
        <v>none</v>
      </c>
      <c r="AS34" s="64"/>
      <c r="AT34" s="266"/>
      <c r="AU34" s="64"/>
      <c r="AV34" s="266" t="s">
        <v>37</v>
      </c>
      <c r="AW34" s="64"/>
      <c r="AX34" s="269" t="s">
        <v>38</v>
      </c>
      <c r="AY34" s="272">
        <f>informatieblad!$B$3</f>
        <v>0</v>
      </c>
      <c r="AZ34" s="264">
        <f>informatieblad!$B$4</f>
        <v>0</v>
      </c>
    </row>
    <row r="35" spans="1:52">
      <c r="A35" s="475"/>
      <c r="B35" s="502" t="str">
        <f>IF($C36&gt;0,IF(MAX(B34,C34)&lt;informatieblad!$Q$4,informatieblad!$P$3,IF(MAX(B34,C34)&gt;informatieblad!$R$4,informatieblad!$P$5,informatieblad!$P$4)),"")</f>
        <v/>
      </c>
      <c r="C35" s="503"/>
      <c r="D35" s="223"/>
      <c r="E35" s="223"/>
      <c r="F35" s="224" t="str">
        <f>A34&amp;"-"&amp;informatieblad!$B$19&amp;"-"&amp;B34&amp;"-"&amp;C34&amp;"-"&amp;D34&amp;"-"&amp;B35&amp;"-"&amp;F36</f>
        <v>-RctS---0--Options None</v>
      </c>
      <c r="G35" s="235"/>
      <c r="H35" s="235"/>
      <c r="I35" s="236"/>
      <c r="J35" s="83"/>
      <c r="T35" s="103">
        <f>A34</f>
        <v>0</v>
      </c>
      <c r="U35" s="104" t="s">
        <v>39</v>
      </c>
      <c r="V35" s="104" t="s">
        <v>39</v>
      </c>
      <c r="W35" s="104" t="s">
        <v>40</v>
      </c>
      <c r="X35" s="104" t="s">
        <v>40</v>
      </c>
      <c r="Y35" s="104" t="s">
        <v>40</v>
      </c>
      <c r="Z35" s="105"/>
      <c r="AA35" s="155" t="s">
        <v>27</v>
      </c>
      <c r="AB35" s="155" t="s">
        <v>40</v>
      </c>
      <c r="AC35" s="155" t="s">
        <v>41</v>
      </c>
      <c r="AD35" s="156" t="s">
        <v>105</v>
      </c>
      <c r="AE35" s="104" t="s">
        <v>106</v>
      </c>
      <c r="AF35" s="107" t="s">
        <v>87</v>
      </c>
      <c r="AG35" s="107" t="s">
        <v>44</v>
      </c>
      <c r="AH35" s="107"/>
      <c r="AI35" s="104" t="s">
        <v>40</v>
      </c>
      <c r="AJ35" s="104" t="s">
        <v>41</v>
      </c>
      <c r="AK35" s="108"/>
      <c r="AL35" s="109"/>
      <c r="AO35" s="262" t="str">
        <f>informatieblad!$A$2</f>
        <v>FL20 loose</v>
      </c>
      <c r="AP35" s="262" t="str">
        <f>informatieblad!$A$3</f>
        <v>FL30 loose</v>
      </c>
      <c r="AQ35" s="263" t="str">
        <f>informatieblad!$A$4</f>
        <v>FL40 loose</v>
      </c>
      <c r="AR35" s="282"/>
      <c r="AS35" s="64"/>
      <c r="AT35" s="267"/>
      <c r="AU35" s="64"/>
      <c r="AV35" s="267"/>
      <c r="AW35" s="64"/>
      <c r="AX35" s="265" t="s">
        <v>47</v>
      </c>
      <c r="AY35" s="83" t="s">
        <v>23</v>
      </c>
      <c r="AZ35" s="273" t="s">
        <v>23</v>
      </c>
    </row>
    <row r="36" spans="1:52" ht="15.75" thickBot="1">
      <c r="A36" s="495"/>
      <c r="B36" s="227" t="s">
        <v>23</v>
      </c>
      <c r="C36" s="237"/>
      <c r="D36" s="229">
        <f>C36*V36</f>
        <v>0</v>
      </c>
      <c r="E36" s="230" t="s">
        <v>24</v>
      </c>
      <c r="F36" s="498" t="s">
        <v>25</v>
      </c>
      <c r="G36" s="452"/>
      <c r="H36" s="452"/>
      <c r="I36" s="453"/>
      <c r="J36" s="176"/>
      <c r="T36" s="111"/>
      <c r="U36" s="112">
        <f>(((2*(B34+C34))*(D34+25)))/1000000</f>
        <v>0</v>
      </c>
      <c r="V36" s="112">
        <f>((IF(U36&lt;=informatieblad!$I$19,informatieblad!$I$19,IF(U36&gt;=informatieblad!$I$19,U36))))</f>
        <v>0.5</v>
      </c>
      <c r="W36" s="112">
        <f>(((2*(B34+C34))*(D34+25)))/1000000</f>
        <v>0</v>
      </c>
      <c r="X36" s="112">
        <f>((IF(W36&lt;=informatieblad!$H$19,informatieblad!$H$19,IF(W36&gt;=informatieblad!$H$19,W36))))</f>
        <v>0</v>
      </c>
      <c r="Y36" s="113">
        <f>((X36*AI36)+(X36*AB36))*C36</f>
        <v>0</v>
      </c>
      <c r="Z36" s="114">
        <f>((V36*AJ36)+(V36*AC36))*C36</f>
        <v>0</v>
      </c>
      <c r="AA36" s="115" t="str">
        <f>F36</f>
        <v>Options None</v>
      </c>
      <c r="AB36" s="115">
        <f>VLOOKUP(F36,informatieblad!$A$37:$D$41,2,FALSE)</f>
        <v>0</v>
      </c>
      <c r="AC36" s="115">
        <f>VLOOKUP(F36,informatieblad!$A$37:$D$41,4,FALSE)</f>
        <v>0</v>
      </c>
      <c r="AD36" s="180">
        <f>(MAX(K34,L34))</f>
        <v>0</v>
      </c>
      <c r="AE36" s="119">
        <f>(MAX(M34,N34))</f>
        <v>0</v>
      </c>
      <c r="AF36" s="119">
        <f>(MAX(K34,M34))</f>
        <v>0</v>
      </c>
      <c r="AG36" s="119">
        <f>(MAX(B34:C34))</f>
        <v>0</v>
      </c>
      <c r="AH36" s="119">
        <f>LOOKUP(AG36,informatieblad!$C$27:$C$32,informatieblad!$A$27:$A$32)</f>
        <v>0.5</v>
      </c>
      <c r="AI36" s="118">
        <f>VLOOKUP(AH36,informatieblad!$A$27:$M$32,6,FALSE)</f>
        <v>0</v>
      </c>
      <c r="AJ36" s="118">
        <f>VLOOKUP(AH36,informatieblad!$A$27:$M$32,8,FALSE)</f>
        <v>45.1248</v>
      </c>
      <c r="AK36" s="120">
        <f>VLOOKUP(AH36,informatieblad!$A$27:$M$32,13,FALSE)</f>
        <v>4</v>
      </c>
      <c r="AL36" s="121">
        <f>ROUND((AK36*W36),1)</f>
        <v>0</v>
      </c>
      <c r="AO36" s="111">
        <f>(IF(B35=AO34,((2*B34)+(2*C34)),IF(B35=AO35,((2*B34)+(2*C34)),0)))*C36</f>
        <v>0</v>
      </c>
      <c r="AP36" s="111">
        <f>(IF(B35=AP34,((2*B34)+(2*C34)),IF(B35=AP35,((2*B34)+(2*C34)),0)))*C36</f>
        <v>0</v>
      </c>
      <c r="AQ36" s="261">
        <f>(IF(B35=AQ34,((2*B34)+(2*C34)),IF(B35=AQ35,((2*B34)+(2*C34)),0)))*C36</f>
        <v>0</v>
      </c>
      <c r="AR36" s="283">
        <f>(IF(B35=AR34,((2*B34)+(2*C34)),0))*C36</f>
        <v>0</v>
      </c>
      <c r="AS36" s="64"/>
      <c r="AT36" s="268"/>
      <c r="AU36" s="64"/>
      <c r="AV36" s="268">
        <f>(AG36+100)*C36</f>
        <v>0</v>
      </c>
      <c r="AW36" s="64"/>
      <c r="AX36" s="111" t="str">
        <f>IF(B35=informatieblad!$A$6,informatieblad!$B$6,IF(B35=informatieblad!$A$7,informatieblad!$B$7,IF(B35=informatieblad!$A$8,informatieblad!$B$8,IF(B35=informatieblad!$A$2,informatieblad!$B$2,IF(B35=informatieblad!$A$3,informatieblad!$B$3,IF(B35=informatieblad!$A$4,informatieblad!$B$4,IF(B35=informatieblad!$A$5,informatieblad!$B$5,"")))))))</f>
        <v/>
      </c>
      <c r="AY36" s="276">
        <f>IF(AX36=AY34,(4*C36),0)</f>
        <v>0</v>
      </c>
      <c r="AZ36" s="274">
        <f>IF(AX36=AZ34,(4*C36),0)</f>
        <v>0</v>
      </c>
    </row>
    <row r="37" spans="1:52" ht="5.0999999999999996" customHeight="1" thickBot="1">
      <c r="A37" s="231"/>
      <c r="B37" s="232"/>
      <c r="C37" s="232"/>
      <c r="D37" s="232"/>
      <c r="E37" s="232"/>
      <c r="F37" s="232"/>
      <c r="G37" s="232"/>
      <c r="H37" s="232"/>
      <c r="I37" s="233"/>
      <c r="J37" s="64"/>
    </row>
    <row r="38" spans="1:52" ht="15.75" thickBot="1">
      <c r="A38" s="494"/>
      <c r="B38" s="234"/>
      <c r="C38" s="234"/>
      <c r="D38" s="220">
        <f>(B38&gt;0)*$I$8</f>
        <v>0</v>
      </c>
      <c r="E38" s="221"/>
      <c r="F38" s="221"/>
      <c r="G38" s="221"/>
      <c r="H38" s="221"/>
      <c r="I38" s="222"/>
      <c r="J38" s="345" t="s">
        <v>20</v>
      </c>
      <c r="T38" s="97" t="s">
        <v>14</v>
      </c>
      <c r="U38" s="98" t="s">
        <v>27</v>
      </c>
      <c r="V38" s="98" t="s">
        <v>28</v>
      </c>
      <c r="W38" s="98" t="s">
        <v>27</v>
      </c>
      <c r="X38" s="98" t="s">
        <v>28</v>
      </c>
      <c r="Y38" s="98" t="s">
        <v>29</v>
      </c>
      <c r="Z38" s="66" t="s">
        <v>30</v>
      </c>
      <c r="AA38" s="153" t="s">
        <v>31</v>
      </c>
      <c r="AB38" s="153"/>
      <c r="AC38" s="153"/>
      <c r="AD38" s="154" t="s">
        <v>83</v>
      </c>
      <c r="AE38" s="100" t="s">
        <v>83</v>
      </c>
      <c r="AF38" s="100" t="s">
        <v>83</v>
      </c>
      <c r="AG38" s="100" t="s">
        <v>33</v>
      </c>
      <c r="AH38" s="100" t="s">
        <v>34</v>
      </c>
      <c r="AI38" s="98" t="s">
        <v>32</v>
      </c>
      <c r="AJ38" s="98" t="s">
        <v>32</v>
      </c>
      <c r="AK38" s="98" t="s">
        <v>35</v>
      </c>
      <c r="AL38" s="101" t="s">
        <v>36</v>
      </c>
      <c r="AO38" s="97" t="str">
        <f>informatieblad!$A$6</f>
        <v>FL20</v>
      </c>
      <c r="AP38" s="97" t="str">
        <f>informatieblad!$A$7</f>
        <v>FL30</v>
      </c>
      <c r="AQ38" s="99" t="str">
        <f>informatieblad!$A$8</f>
        <v>FL40</v>
      </c>
      <c r="AR38" s="266" t="str">
        <f>informatieblad!$A$5</f>
        <v>none</v>
      </c>
      <c r="AS38" s="64"/>
      <c r="AT38" s="266"/>
      <c r="AU38" s="64"/>
      <c r="AV38" s="266" t="s">
        <v>37</v>
      </c>
      <c r="AW38" s="64"/>
      <c r="AX38" s="269" t="s">
        <v>38</v>
      </c>
      <c r="AY38" s="272">
        <f>informatieblad!$B$3</f>
        <v>0</v>
      </c>
      <c r="AZ38" s="264">
        <f>informatieblad!$B$4</f>
        <v>0</v>
      </c>
    </row>
    <row r="39" spans="1:52">
      <c r="A39" s="475"/>
      <c r="B39" s="502" t="str">
        <f>IF($C40&gt;0,IF(MAX(B38,C38)&lt;informatieblad!$Q$4,informatieblad!$P$3,IF(MAX(B38,C38)&gt;informatieblad!$R$4,informatieblad!$P$5,informatieblad!$P$4)),"")</f>
        <v/>
      </c>
      <c r="C39" s="503"/>
      <c r="D39" s="223"/>
      <c r="E39" s="223"/>
      <c r="F39" s="224" t="str">
        <f>A38&amp;"-"&amp;informatieblad!$B$19&amp;"-"&amp;B38&amp;"-"&amp;C38&amp;"-"&amp;D38&amp;"-"&amp;B39&amp;"-"&amp;F40</f>
        <v>-RctS---0--Options None</v>
      </c>
      <c r="G39" s="235"/>
      <c r="H39" s="235"/>
      <c r="I39" s="236"/>
      <c r="J39" s="83"/>
      <c r="T39" s="103">
        <f>A38</f>
        <v>0</v>
      </c>
      <c r="U39" s="104" t="s">
        <v>39</v>
      </c>
      <c r="V39" s="104" t="s">
        <v>39</v>
      </c>
      <c r="W39" s="104" t="s">
        <v>40</v>
      </c>
      <c r="X39" s="104" t="s">
        <v>40</v>
      </c>
      <c r="Y39" s="104" t="s">
        <v>40</v>
      </c>
      <c r="Z39" s="105"/>
      <c r="AA39" s="155" t="s">
        <v>27</v>
      </c>
      <c r="AB39" s="155" t="s">
        <v>40</v>
      </c>
      <c r="AC39" s="155" t="s">
        <v>41</v>
      </c>
      <c r="AD39" s="156" t="s">
        <v>105</v>
      </c>
      <c r="AE39" s="104" t="s">
        <v>106</v>
      </c>
      <c r="AF39" s="107" t="s">
        <v>87</v>
      </c>
      <c r="AG39" s="107" t="s">
        <v>44</v>
      </c>
      <c r="AH39" s="107"/>
      <c r="AI39" s="104" t="s">
        <v>40</v>
      </c>
      <c r="AJ39" s="104" t="s">
        <v>41</v>
      </c>
      <c r="AK39" s="108"/>
      <c r="AL39" s="109"/>
      <c r="AO39" s="262" t="str">
        <f>informatieblad!$A$2</f>
        <v>FL20 loose</v>
      </c>
      <c r="AP39" s="262" t="str">
        <f>informatieblad!$A$3</f>
        <v>FL30 loose</v>
      </c>
      <c r="AQ39" s="263" t="str">
        <f>informatieblad!$A$4</f>
        <v>FL40 loose</v>
      </c>
      <c r="AR39" s="282"/>
      <c r="AS39" s="64"/>
      <c r="AT39" s="267"/>
      <c r="AU39" s="64"/>
      <c r="AV39" s="267"/>
      <c r="AW39" s="64"/>
      <c r="AX39" s="265" t="s">
        <v>47</v>
      </c>
      <c r="AY39" s="83" t="s">
        <v>23</v>
      </c>
      <c r="AZ39" s="273" t="s">
        <v>23</v>
      </c>
    </row>
    <row r="40" spans="1:52" ht="15.75" thickBot="1">
      <c r="A40" s="495"/>
      <c r="B40" s="227" t="s">
        <v>23</v>
      </c>
      <c r="C40" s="237"/>
      <c r="D40" s="229">
        <f>C40*V40</f>
        <v>0</v>
      </c>
      <c r="E40" s="230" t="s">
        <v>24</v>
      </c>
      <c r="F40" s="498" t="s">
        <v>25</v>
      </c>
      <c r="G40" s="452"/>
      <c r="H40" s="452"/>
      <c r="I40" s="453"/>
      <c r="J40" s="176"/>
      <c r="T40" s="111"/>
      <c r="U40" s="112">
        <f>(((2*(B38+C38))*(D38+25)))/1000000</f>
        <v>0</v>
      </c>
      <c r="V40" s="112">
        <f>((IF(U40&lt;=informatieblad!$I$19,informatieblad!$I$19,IF(U40&gt;=informatieblad!$I$19,U40))))</f>
        <v>0.5</v>
      </c>
      <c r="W40" s="112">
        <f>(((2*(B38+C38))*(D38+25)))/1000000</f>
        <v>0</v>
      </c>
      <c r="X40" s="112">
        <f>((IF(W40&lt;=informatieblad!$H$19,informatieblad!$H$19,IF(W40&gt;=informatieblad!$H$19,W40))))</f>
        <v>0</v>
      </c>
      <c r="Y40" s="113">
        <f>((X40*AI40)+(X40*AB40))*C40</f>
        <v>0</v>
      </c>
      <c r="Z40" s="114">
        <f>((V40*AJ40)+(V40*AC40))*C40</f>
        <v>0</v>
      </c>
      <c r="AA40" s="115" t="str">
        <f>F40</f>
        <v>Options None</v>
      </c>
      <c r="AB40" s="115">
        <f>VLOOKUP(F40,informatieblad!$A$37:$D$41,2,FALSE)</f>
        <v>0</v>
      </c>
      <c r="AC40" s="115">
        <f>VLOOKUP(F40,informatieblad!$A$37:$D$41,4,FALSE)</f>
        <v>0</v>
      </c>
      <c r="AD40" s="180">
        <f>(MAX(K38,L38))</f>
        <v>0</v>
      </c>
      <c r="AE40" s="119">
        <f>(MAX(M38,N38))</f>
        <v>0</v>
      </c>
      <c r="AF40" s="119">
        <f>(MAX(K38,M38))</f>
        <v>0</v>
      </c>
      <c r="AG40" s="119">
        <f>(MAX(B38:C38))</f>
        <v>0</v>
      </c>
      <c r="AH40" s="119">
        <f>LOOKUP(AG40,informatieblad!$C$27:$C$32,informatieblad!$A$27:$A$32)</f>
        <v>0.5</v>
      </c>
      <c r="AI40" s="118">
        <f>VLOOKUP(AH40,informatieblad!$A$27:$M$32,6,FALSE)</f>
        <v>0</v>
      </c>
      <c r="AJ40" s="118">
        <f>VLOOKUP(AH40,informatieblad!$A$27:$M$32,8,FALSE)</f>
        <v>45.1248</v>
      </c>
      <c r="AK40" s="120">
        <f>VLOOKUP(AH40,informatieblad!$A$27:$M$32,13,FALSE)</f>
        <v>4</v>
      </c>
      <c r="AL40" s="121">
        <f>ROUND((AK40*W40),1)</f>
        <v>0</v>
      </c>
      <c r="AO40" s="111">
        <f>(IF(B39=AO38,((2*B38)+(2*C38)),IF(B39=AO39,((2*B38)+(2*C38)),0)))*C40</f>
        <v>0</v>
      </c>
      <c r="AP40" s="111">
        <f>(IF(B39=AP38,((2*B38)+(2*C38)),IF(B39=AP39,((2*B38)+(2*C38)),0)))*C40</f>
        <v>0</v>
      </c>
      <c r="AQ40" s="261">
        <f>(IF(B39=AQ38,((2*B38)+(2*C38)),IF(B39=AQ39,((2*B38)+(2*C38)),0)))*C40</f>
        <v>0</v>
      </c>
      <c r="AR40" s="283">
        <f>(IF(B39=AR38,((2*B38)+(2*C38)),0))*C40</f>
        <v>0</v>
      </c>
      <c r="AS40" s="64"/>
      <c r="AT40" s="268"/>
      <c r="AU40" s="64"/>
      <c r="AV40" s="268">
        <f>(AG40+100)*C40</f>
        <v>0</v>
      </c>
      <c r="AW40" s="64"/>
      <c r="AX40" s="111" t="str">
        <f>IF(B39=informatieblad!$A$6,informatieblad!$B$6,IF(B39=informatieblad!$A$7,informatieblad!$B$7,IF(B39=informatieblad!$A$8,informatieblad!$B$8,IF(B39=informatieblad!$A$2,informatieblad!$B$2,IF(B39=informatieblad!$A$3,informatieblad!$B$3,IF(B39=informatieblad!$A$4,informatieblad!$B$4,IF(B39=informatieblad!$A$5,informatieblad!$B$5,"")))))))</f>
        <v/>
      </c>
      <c r="AY40" s="276">
        <f>IF(AX40=AY38,(4*C40),0)</f>
        <v>0</v>
      </c>
      <c r="AZ40" s="274">
        <f>IF(AX40=AZ38,(4*C40),0)</f>
        <v>0</v>
      </c>
    </row>
    <row r="41" spans="1:52" ht="5.0999999999999996" customHeight="1" thickBot="1">
      <c r="A41" s="231"/>
      <c r="B41" s="232"/>
      <c r="C41" s="232"/>
      <c r="D41" s="232"/>
      <c r="E41" s="232"/>
      <c r="F41" s="232"/>
      <c r="G41" s="232"/>
      <c r="H41" s="232"/>
      <c r="I41" s="233"/>
      <c r="J41" s="64"/>
    </row>
    <row r="42" spans="1:52" ht="15.75" thickBot="1">
      <c r="A42" s="494"/>
      <c r="B42" s="234"/>
      <c r="C42" s="234"/>
      <c r="D42" s="220">
        <f>(B42&gt;0)*$I$8</f>
        <v>0</v>
      </c>
      <c r="E42" s="221"/>
      <c r="F42" s="221"/>
      <c r="G42" s="221"/>
      <c r="H42" s="221"/>
      <c r="I42" s="222"/>
      <c r="J42" s="345" t="s">
        <v>20</v>
      </c>
      <c r="T42" s="97" t="s">
        <v>14</v>
      </c>
      <c r="U42" s="98" t="s">
        <v>27</v>
      </c>
      <c r="V42" s="98" t="s">
        <v>28</v>
      </c>
      <c r="W42" s="98" t="s">
        <v>27</v>
      </c>
      <c r="X42" s="98" t="s">
        <v>28</v>
      </c>
      <c r="Y42" s="98" t="s">
        <v>29</v>
      </c>
      <c r="Z42" s="66" t="s">
        <v>30</v>
      </c>
      <c r="AA42" s="153" t="s">
        <v>31</v>
      </c>
      <c r="AB42" s="153"/>
      <c r="AC42" s="153"/>
      <c r="AD42" s="154" t="s">
        <v>83</v>
      </c>
      <c r="AE42" s="100" t="s">
        <v>83</v>
      </c>
      <c r="AF42" s="100" t="s">
        <v>83</v>
      </c>
      <c r="AG42" s="100" t="s">
        <v>33</v>
      </c>
      <c r="AH42" s="100" t="s">
        <v>34</v>
      </c>
      <c r="AI42" s="98" t="s">
        <v>32</v>
      </c>
      <c r="AJ42" s="98" t="s">
        <v>32</v>
      </c>
      <c r="AK42" s="98" t="s">
        <v>35</v>
      </c>
      <c r="AL42" s="101" t="s">
        <v>36</v>
      </c>
      <c r="AO42" s="97" t="str">
        <f>informatieblad!$A$6</f>
        <v>FL20</v>
      </c>
      <c r="AP42" s="97" t="str">
        <f>informatieblad!$A$7</f>
        <v>FL30</v>
      </c>
      <c r="AQ42" s="99" t="str">
        <f>informatieblad!$A$8</f>
        <v>FL40</v>
      </c>
      <c r="AR42" s="266" t="str">
        <f>informatieblad!$A$5</f>
        <v>none</v>
      </c>
      <c r="AS42" s="64"/>
      <c r="AT42" s="266"/>
      <c r="AU42" s="64"/>
      <c r="AV42" s="266" t="s">
        <v>37</v>
      </c>
      <c r="AW42" s="64"/>
      <c r="AX42" s="269" t="s">
        <v>38</v>
      </c>
      <c r="AY42" s="272">
        <f>informatieblad!$B$3</f>
        <v>0</v>
      </c>
      <c r="AZ42" s="264">
        <f>informatieblad!$B$4</f>
        <v>0</v>
      </c>
    </row>
    <row r="43" spans="1:52">
      <c r="A43" s="475"/>
      <c r="B43" s="502" t="str">
        <f>IF($C44&gt;0,IF(MAX(B42,C42)&lt;informatieblad!$Q$4,informatieblad!$P$3,IF(MAX(B42,C42)&gt;informatieblad!$R$4,informatieblad!$P$5,informatieblad!$P$4)),"")</f>
        <v/>
      </c>
      <c r="C43" s="503"/>
      <c r="D43" s="223"/>
      <c r="E43" s="223"/>
      <c r="F43" s="224" t="str">
        <f>A42&amp;"-"&amp;informatieblad!$B$19&amp;"-"&amp;B42&amp;"-"&amp;C42&amp;"-"&amp;D42&amp;"-"&amp;B43&amp;"-"&amp;F44</f>
        <v>-RctS---0--Options None</v>
      </c>
      <c r="G43" s="235"/>
      <c r="H43" s="235"/>
      <c r="I43" s="236"/>
      <c r="J43" s="83"/>
      <c r="T43" s="103">
        <f>A42</f>
        <v>0</v>
      </c>
      <c r="U43" s="104" t="s">
        <v>39</v>
      </c>
      <c r="V43" s="104" t="s">
        <v>39</v>
      </c>
      <c r="W43" s="104" t="s">
        <v>40</v>
      </c>
      <c r="X43" s="104" t="s">
        <v>40</v>
      </c>
      <c r="Y43" s="104" t="s">
        <v>40</v>
      </c>
      <c r="Z43" s="105"/>
      <c r="AA43" s="155" t="s">
        <v>27</v>
      </c>
      <c r="AB43" s="155" t="s">
        <v>40</v>
      </c>
      <c r="AC43" s="155" t="s">
        <v>41</v>
      </c>
      <c r="AD43" s="156" t="s">
        <v>105</v>
      </c>
      <c r="AE43" s="104" t="s">
        <v>106</v>
      </c>
      <c r="AF43" s="107" t="s">
        <v>87</v>
      </c>
      <c r="AG43" s="107" t="s">
        <v>44</v>
      </c>
      <c r="AH43" s="107"/>
      <c r="AI43" s="104" t="s">
        <v>40</v>
      </c>
      <c r="AJ43" s="104" t="s">
        <v>41</v>
      </c>
      <c r="AK43" s="108"/>
      <c r="AL43" s="109"/>
      <c r="AO43" s="262" t="str">
        <f>informatieblad!$A$2</f>
        <v>FL20 loose</v>
      </c>
      <c r="AP43" s="262" t="str">
        <f>informatieblad!$A$3</f>
        <v>FL30 loose</v>
      </c>
      <c r="AQ43" s="263" t="str">
        <f>informatieblad!$A$4</f>
        <v>FL40 loose</v>
      </c>
      <c r="AR43" s="282"/>
      <c r="AS43" s="64"/>
      <c r="AT43" s="267"/>
      <c r="AU43" s="64"/>
      <c r="AV43" s="267"/>
      <c r="AW43" s="64"/>
      <c r="AX43" s="265" t="s">
        <v>47</v>
      </c>
      <c r="AY43" s="83" t="s">
        <v>23</v>
      </c>
      <c r="AZ43" s="273" t="s">
        <v>23</v>
      </c>
    </row>
    <row r="44" spans="1:52" ht="15.75" thickBot="1">
      <c r="A44" s="495"/>
      <c r="B44" s="227" t="s">
        <v>23</v>
      </c>
      <c r="C44" s="237"/>
      <c r="D44" s="229">
        <f>C44*V44</f>
        <v>0</v>
      </c>
      <c r="E44" s="230" t="s">
        <v>24</v>
      </c>
      <c r="F44" s="498" t="s">
        <v>25</v>
      </c>
      <c r="G44" s="452"/>
      <c r="H44" s="452"/>
      <c r="I44" s="453"/>
      <c r="J44" s="176"/>
      <c r="T44" s="111"/>
      <c r="U44" s="112">
        <f>(((2*(B42+C42))*(D42+25)))/1000000</f>
        <v>0</v>
      </c>
      <c r="V44" s="112">
        <f>((IF(U44&lt;=informatieblad!$I$19,informatieblad!$I$19,IF(U44&gt;=informatieblad!$I$19,U44))))</f>
        <v>0.5</v>
      </c>
      <c r="W44" s="112">
        <f>(((2*(B42+C42))*(D42+25)))/1000000</f>
        <v>0</v>
      </c>
      <c r="X44" s="112">
        <f>((IF(W44&lt;=informatieblad!$H$19,informatieblad!$H$19,IF(W44&gt;=informatieblad!$H$19,W44))))</f>
        <v>0</v>
      </c>
      <c r="Y44" s="113">
        <f>((X44*AI44)+(X44*AB44))*C44</f>
        <v>0</v>
      </c>
      <c r="Z44" s="114">
        <f>((V44*AJ44)+(V44*AC44))*C44</f>
        <v>0</v>
      </c>
      <c r="AA44" s="115" t="str">
        <f>F44</f>
        <v>Options None</v>
      </c>
      <c r="AB44" s="115">
        <f>VLOOKUP(F44,informatieblad!$A$37:$D$41,2,FALSE)</f>
        <v>0</v>
      </c>
      <c r="AC44" s="115">
        <f>VLOOKUP(F44,informatieblad!$A$37:$D$41,4,FALSE)</f>
        <v>0</v>
      </c>
      <c r="AD44" s="180">
        <f>(MAX(K42,L42))</f>
        <v>0</v>
      </c>
      <c r="AE44" s="119">
        <f>(MAX(M42,N42))</f>
        <v>0</v>
      </c>
      <c r="AF44" s="119">
        <f>(MAX(K42,M42))</f>
        <v>0</v>
      </c>
      <c r="AG44" s="119">
        <f>(MAX(B42:C42))</f>
        <v>0</v>
      </c>
      <c r="AH44" s="119">
        <f>LOOKUP(AG44,informatieblad!$C$27:$C$32,informatieblad!$A$27:$A$32)</f>
        <v>0.5</v>
      </c>
      <c r="AI44" s="118">
        <f>VLOOKUP(AH44,informatieblad!$A$27:$M$32,6,FALSE)</f>
        <v>0</v>
      </c>
      <c r="AJ44" s="118">
        <f>VLOOKUP(AH44,informatieblad!$A$27:$M$32,8,FALSE)</f>
        <v>45.1248</v>
      </c>
      <c r="AK44" s="120">
        <f>VLOOKUP(AH44,informatieblad!$A$27:$M$32,13,FALSE)</f>
        <v>4</v>
      </c>
      <c r="AL44" s="121">
        <f>ROUND((AK44*W44),1)</f>
        <v>0</v>
      </c>
      <c r="AO44" s="111">
        <f>(IF(B43=AO42,((2*B42)+(2*C42)),IF(B43=AO43,((2*B42)+(2*C42)),0)))*C44</f>
        <v>0</v>
      </c>
      <c r="AP44" s="111">
        <f>(IF(B43=AP42,((2*B42)+(2*C42)),IF(B43=AP43,((2*B42)+(2*C42)),0)))*C44</f>
        <v>0</v>
      </c>
      <c r="AQ44" s="261">
        <f>(IF(B43=AQ42,((2*B42)+(2*C42)),IF(B43=AQ43,((2*B42)+(2*C42)),0)))*C44</f>
        <v>0</v>
      </c>
      <c r="AR44" s="283">
        <f>(IF(B43=AR42,((2*B42)+(2*C42)),0))*C44</f>
        <v>0</v>
      </c>
      <c r="AS44" s="64"/>
      <c r="AT44" s="268"/>
      <c r="AU44" s="64"/>
      <c r="AV44" s="268">
        <f>(AG44+100)*C44</f>
        <v>0</v>
      </c>
      <c r="AW44" s="64"/>
      <c r="AX44" s="111" t="str">
        <f>IF(B43=informatieblad!$A$6,informatieblad!$B$6,IF(B43=informatieblad!$A$7,informatieblad!$B$7,IF(B43=informatieblad!$A$8,informatieblad!$B$8,IF(B43=informatieblad!$A$2,informatieblad!$B$2,IF(B43=informatieblad!$A$3,informatieblad!$B$3,IF(B43=informatieblad!$A$4,informatieblad!$B$4,IF(B43=informatieblad!$A$5,informatieblad!$B$5,"")))))))</f>
        <v/>
      </c>
      <c r="AY44" s="276">
        <f>IF(AX44=AY42,(4*C44),0)</f>
        <v>0</v>
      </c>
      <c r="AZ44" s="274">
        <f>IF(AX44=AZ42,(4*C44),0)</f>
        <v>0</v>
      </c>
    </row>
    <row r="45" spans="1:52" ht="5.0999999999999996" customHeight="1" thickBot="1">
      <c r="A45" s="231"/>
      <c r="B45" s="232"/>
      <c r="C45" s="232"/>
      <c r="D45" s="232"/>
      <c r="E45" s="232"/>
      <c r="F45" s="232"/>
      <c r="G45" s="232"/>
      <c r="H45" s="232"/>
      <c r="I45" s="233"/>
      <c r="J45" s="64"/>
    </row>
    <row r="46" spans="1:52" ht="15.75" thickBot="1">
      <c r="A46" s="494"/>
      <c r="B46" s="234"/>
      <c r="C46" s="234"/>
      <c r="D46" s="220">
        <f>(B46&gt;0)*$I$8</f>
        <v>0</v>
      </c>
      <c r="E46" s="221"/>
      <c r="F46" s="221"/>
      <c r="G46" s="221"/>
      <c r="H46" s="221"/>
      <c r="I46" s="222"/>
      <c r="J46" s="345" t="s">
        <v>20</v>
      </c>
      <c r="T46" s="97" t="s">
        <v>14</v>
      </c>
      <c r="U46" s="98" t="s">
        <v>27</v>
      </c>
      <c r="V46" s="98" t="s">
        <v>28</v>
      </c>
      <c r="W46" s="98" t="s">
        <v>27</v>
      </c>
      <c r="X46" s="98" t="s">
        <v>28</v>
      </c>
      <c r="Y46" s="98" t="s">
        <v>29</v>
      </c>
      <c r="Z46" s="66" t="s">
        <v>30</v>
      </c>
      <c r="AA46" s="153" t="s">
        <v>31</v>
      </c>
      <c r="AB46" s="153"/>
      <c r="AC46" s="153"/>
      <c r="AD46" s="154" t="s">
        <v>83</v>
      </c>
      <c r="AE46" s="100" t="s">
        <v>83</v>
      </c>
      <c r="AF46" s="100" t="s">
        <v>83</v>
      </c>
      <c r="AG46" s="100" t="s">
        <v>33</v>
      </c>
      <c r="AH46" s="100" t="s">
        <v>34</v>
      </c>
      <c r="AI46" s="98" t="s">
        <v>32</v>
      </c>
      <c r="AJ46" s="98" t="s">
        <v>32</v>
      </c>
      <c r="AK46" s="98" t="s">
        <v>35</v>
      </c>
      <c r="AL46" s="101" t="s">
        <v>36</v>
      </c>
      <c r="AO46" s="97" t="str">
        <f>informatieblad!$A$6</f>
        <v>FL20</v>
      </c>
      <c r="AP46" s="97" t="str">
        <f>informatieblad!$A$7</f>
        <v>FL30</v>
      </c>
      <c r="AQ46" s="99" t="str">
        <f>informatieblad!$A$8</f>
        <v>FL40</v>
      </c>
      <c r="AR46" s="266" t="str">
        <f>informatieblad!$A$5</f>
        <v>none</v>
      </c>
      <c r="AS46" s="64"/>
      <c r="AT46" s="266"/>
      <c r="AU46" s="64"/>
      <c r="AV46" s="266" t="s">
        <v>37</v>
      </c>
      <c r="AW46" s="64"/>
      <c r="AX46" s="269" t="s">
        <v>38</v>
      </c>
      <c r="AY46" s="272">
        <f>informatieblad!$B$3</f>
        <v>0</v>
      </c>
      <c r="AZ46" s="264">
        <f>informatieblad!$B$4</f>
        <v>0</v>
      </c>
    </row>
    <row r="47" spans="1:52">
      <c r="A47" s="475"/>
      <c r="B47" s="502" t="str">
        <f>IF($C48&gt;0,IF(MAX(B46,C46)&lt;informatieblad!$Q$4,informatieblad!$P$3,IF(MAX(B46,C46)&gt;informatieblad!$R$4,informatieblad!$P$5,informatieblad!$P$4)),"")</f>
        <v/>
      </c>
      <c r="C47" s="503"/>
      <c r="D47" s="223"/>
      <c r="E47" s="223"/>
      <c r="F47" s="224" t="str">
        <f>A46&amp;"-"&amp;informatieblad!$B$19&amp;"-"&amp;B46&amp;"-"&amp;C46&amp;"-"&amp;D46&amp;"-"&amp;B47&amp;"-"&amp;F48</f>
        <v>-RctS---0--Options None</v>
      </c>
      <c r="G47" s="235"/>
      <c r="H47" s="235"/>
      <c r="I47" s="236"/>
      <c r="J47" s="83"/>
      <c r="T47" s="103">
        <f>A46</f>
        <v>0</v>
      </c>
      <c r="U47" s="104" t="s">
        <v>39</v>
      </c>
      <c r="V47" s="104" t="s">
        <v>39</v>
      </c>
      <c r="W47" s="104" t="s">
        <v>40</v>
      </c>
      <c r="X47" s="104" t="s">
        <v>40</v>
      </c>
      <c r="Y47" s="104" t="s">
        <v>40</v>
      </c>
      <c r="Z47" s="105"/>
      <c r="AA47" s="155" t="s">
        <v>27</v>
      </c>
      <c r="AB47" s="155" t="s">
        <v>40</v>
      </c>
      <c r="AC47" s="155" t="s">
        <v>41</v>
      </c>
      <c r="AD47" s="156" t="s">
        <v>105</v>
      </c>
      <c r="AE47" s="104" t="s">
        <v>106</v>
      </c>
      <c r="AF47" s="107" t="s">
        <v>87</v>
      </c>
      <c r="AG47" s="107" t="s">
        <v>44</v>
      </c>
      <c r="AH47" s="107"/>
      <c r="AI47" s="104" t="s">
        <v>40</v>
      </c>
      <c r="AJ47" s="104" t="s">
        <v>41</v>
      </c>
      <c r="AK47" s="108"/>
      <c r="AL47" s="109"/>
      <c r="AO47" s="262" t="str">
        <f>informatieblad!$A$2</f>
        <v>FL20 loose</v>
      </c>
      <c r="AP47" s="262" t="str">
        <f>informatieblad!$A$3</f>
        <v>FL30 loose</v>
      </c>
      <c r="AQ47" s="263" t="str">
        <f>informatieblad!$A$4</f>
        <v>FL40 loose</v>
      </c>
      <c r="AR47" s="282"/>
      <c r="AS47" s="64"/>
      <c r="AT47" s="267"/>
      <c r="AU47" s="64"/>
      <c r="AV47" s="267"/>
      <c r="AW47" s="64"/>
      <c r="AX47" s="265" t="s">
        <v>47</v>
      </c>
      <c r="AY47" s="83" t="s">
        <v>23</v>
      </c>
      <c r="AZ47" s="273" t="s">
        <v>23</v>
      </c>
    </row>
    <row r="48" spans="1:52" ht="15.75" thickBot="1">
      <c r="A48" s="495"/>
      <c r="B48" s="227" t="s">
        <v>23</v>
      </c>
      <c r="C48" s="237"/>
      <c r="D48" s="229">
        <f>C48*V48</f>
        <v>0</v>
      </c>
      <c r="E48" s="230" t="s">
        <v>24</v>
      </c>
      <c r="F48" s="498" t="s">
        <v>25</v>
      </c>
      <c r="G48" s="452"/>
      <c r="H48" s="452"/>
      <c r="I48" s="453"/>
      <c r="J48" s="176"/>
      <c r="T48" s="111"/>
      <c r="U48" s="112">
        <f>(((2*(B46+C46))*(D46+25)))/1000000</f>
        <v>0</v>
      </c>
      <c r="V48" s="112">
        <f>((IF(U48&lt;=informatieblad!$I$19,informatieblad!$I$19,IF(U48&gt;=informatieblad!$I$19,U48))))</f>
        <v>0.5</v>
      </c>
      <c r="W48" s="112">
        <f>(((2*(B46+C46))*(D46+25)))/1000000</f>
        <v>0</v>
      </c>
      <c r="X48" s="112">
        <f>((IF(W48&lt;=informatieblad!$H$19,informatieblad!$H$19,IF(W48&gt;=informatieblad!$H$19,W48))))</f>
        <v>0</v>
      </c>
      <c r="Y48" s="113">
        <f>((X48*AI48)+(X48*AB48))*C48</f>
        <v>0</v>
      </c>
      <c r="Z48" s="114">
        <f>((V48*AJ48)+(V48*AC48))*C48</f>
        <v>0</v>
      </c>
      <c r="AA48" s="115" t="str">
        <f>F48</f>
        <v>Options None</v>
      </c>
      <c r="AB48" s="115">
        <f>VLOOKUP(F48,informatieblad!$A$37:$D$41,2,FALSE)</f>
        <v>0</v>
      </c>
      <c r="AC48" s="115">
        <f>VLOOKUP(F48,informatieblad!$A$37:$D$41,4,FALSE)</f>
        <v>0</v>
      </c>
      <c r="AD48" s="180">
        <f>(MAX(K46,L46))</f>
        <v>0</v>
      </c>
      <c r="AE48" s="119">
        <f>(MAX(M46,N46))</f>
        <v>0</v>
      </c>
      <c r="AF48" s="119">
        <f>(MAX(K46,M46))</f>
        <v>0</v>
      </c>
      <c r="AG48" s="119">
        <f>(MAX(B46:C46))</f>
        <v>0</v>
      </c>
      <c r="AH48" s="119">
        <f>LOOKUP(AG48,informatieblad!$C$27:$C$32,informatieblad!$A$27:$A$32)</f>
        <v>0.5</v>
      </c>
      <c r="AI48" s="118">
        <f>VLOOKUP(AH48,informatieblad!$A$27:$M$32,6,FALSE)</f>
        <v>0</v>
      </c>
      <c r="AJ48" s="118">
        <f>VLOOKUP(AH48,informatieblad!$A$27:$M$32,8,FALSE)</f>
        <v>45.1248</v>
      </c>
      <c r="AK48" s="120">
        <f>VLOOKUP(AH48,informatieblad!$A$27:$M$32,13,FALSE)</f>
        <v>4</v>
      </c>
      <c r="AL48" s="121">
        <f>ROUND((AK48*W48),1)</f>
        <v>0</v>
      </c>
      <c r="AO48" s="111">
        <f>(IF(B47=AO46,((2*B46)+(2*C46)),IF(B47=AO47,((2*B46)+(2*C46)),0)))*C48</f>
        <v>0</v>
      </c>
      <c r="AP48" s="111">
        <f>(IF(B47=AP46,((2*B46)+(2*C46)),IF(B47=AP47,((2*B46)+(2*C46)),0)))*C48</f>
        <v>0</v>
      </c>
      <c r="AQ48" s="261">
        <f>(IF(B47=AQ46,((2*B46)+(2*C46)),IF(B47=AQ47,((2*B46)+(2*C46)),0)))*C48</f>
        <v>0</v>
      </c>
      <c r="AR48" s="283">
        <f>(IF(B47=AR46,((2*B46)+(2*C46)),0))*C48</f>
        <v>0</v>
      </c>
      <c r="AS48" s="64"/>
      <c r="AT48" s="268"/>
      <c r="AU48" s="64"/>
      <c r="AV48" s="268">
        <f>(AG48+100)*C48</f>
        <v>0</v>
      </c>
      <c r="AW48" s="64"/>
      <c r="AX48" s="111" t="str">
        <f>IF(B47=informatieblad!$A$6,informatieblad!$B$6,IF(B47=informatieblad!$A$7,informatieblad!$B$7,IF(B47=informatieblad!$A$8,informatieblad!$B$8,IF(B47=informatieblad!$A$2,informatieblad!$B$2,IF(B47=informatieblad!$A$3,informatieblad!$B$3,IF(B47=informatieblad!$A$4,informatieblad!$B$4,IF(B47=informatieblad!$A$5,informatieblad!$B$5,"")))))))</f>
        <v/>
      </c>
      <c r="AY48" s="276">
        <f>IF(AX48=AY46,(4*C48),0)</f>
        <v>0</v>
      </c>
      <c r="AZ48" s="274">
        <f>IF(AX48=AZ46,(4*C48),0)</f>
        <v>0</v>
      </c>
    </row>
    <row r="49" spans="1:52" ht="5.0999999999999996" customHeight="1" thickBot="1">
      <c r="A49" s="231"/>
      <c r="B49" s="232"/>
      <c r="C49" s="232"/>
      <c r="D49" s="232"/>
      <c r="E49" s="232"/>
      <c r="F49" s="232"/>
      <c r="G49" s="232"/>
      <c r="H49" s="232"/>
      <c r="I49" s="233"/>
      <c r="J49" s="64"/>
    </row>
    <row r="50" spans="1:52" ht="15.75" thickBot="1">
      <c r="A50" s="494"/>
      <c r="B50" s="234"/>
      <c r="C50" s="234"/>
      <c r="D50" s="220">
        <f>(B50&gt;0)*$I$8</f>
        <v>0</v>
      </c>
      <c r="E50" s="221"/>
      <c r="F50" s="221"/>
      <c r="G50" s="221"/>
      <c r="H50" s="221"/>
      <c r="I50" s="222"/>
      <c r="J50" s="345" t="s">
        <v>20</v>
      </c>
      <c r="T50" s="97" t="s">
        <v>14</v>
      </c>
      <c r="U50" s="98" t="s">
        <v>27</v>
      </c>
      <c r="V50" s="98" t="s">
        <v>28</v>
      </c>
      <c r="W50" s="98" t="s">
        <v>27</v>
      </c>
      <c r="X50" s="98" t="s">
        <v>28</v>
      </c>
      <c r="Y50" s="98" t="s">
        <v>29</v>
      </c>
      <c r="Z50" s="66" t="s">
        <v>30</v>
      </c>
      <c r="AA50" s="153" t="s">
        <v>31</v>
      </c>
      <c r="AB50" s="153"/>
      <c r="AC50" s="153"/>
      <c r="AD50" s="154" t="s">
        <v>83</v>
      </c>
      <c r="AE50" s="100" t="s">
        <v>83</v>
      </c>
      <c r="AF50" s="100" t="s">
        <v>83</v>
      </c>
      <c r="AG50" s="100" t="s">
        <v>33</v>
      </c>
      <c r="AH50" s="100" t="s">
        <v>34</v>
      </c>
      <c r="AI50" s="98" t="s">
        <v>32</v>
      </c>
      <c r="AJ50" s="98" t="s">
        <v>32</v>
      </c>
      <c r="AK50" s="98" t="s">
        <v>35</v>
      </c>
      <c r="AL50" s="101" t="s">
        <v>36</v>
      </c>
      <c r="AO50" s="97" t="str">
        <f>informatieblad!$A$6</f>
        <v>FL20</v>
      </c>
      <c r="AP50" s="97" t="str">
        <f>informatieblad!$A$7</f>
        <v>FL30</v>
      </c>
      <c r="AQ50" s="99" t="str">
        <f>informatieblad!$A$8</f>
        <v>FL40</v>
      </c>
      <c r="AR50" s="266" t="str">
        <f>informatieblad!$A$5</f>
        <v>none</v>
      </c>
      <c r="AS50" s="64"/>
      <c r="AT50" s="266"/>
      <c r="AU50" s="64"/>
      <c r="AV50" s="266" t="s">
        <v>37</v>
      </c>
      <c r="AW50" s="64"/>
      <c r="AX50" s="269" t="s">
        <v>38</v>
      </c>
      <c r="AY50" s="272">
        <f>informatieblad!$B$3</f>
        <v>0</v>
      </c>
      <c r="AZ50" s="264">
        <f>informatieblad!$B$4</f>
        <v>0</v>
      </c>
    </row>
    <row r="51" spans="1:52">
      <c r="A51" s="475"/>
      <c r="B51" s="502" t="str">
        <f>IF($C52&gt;0,IF(MAX(B50,C50)&lt;informatieblad!$Q$4,informatieblad!$P$3,IF(MAX(B50,C50)&gt;informatieblad!$R$4,informatieblad!$P$5,informatieblad!$P$4)),"")</f>
        <v/>
      </c>
      <c r="C51" s="503"/>
      <c r="D51" s="223"/>
      <c r="E51" s="223"/>
      <c r="F51" s="224" t="str">
        <f>A50&amp;"-"&amp;informatieblad!$B$19&amp;"-"&amp;B50&amp;"-"&amp;C50&amp;"-"&amp;D50&amp;"-"&amp;B51&amp;"-"&amp;F52</f>
        <v>-RctS---0--Options None</v>
      </c>
      <c r="G51" s="235"/>
      <c r="H51" s="235"/>
      <c r="I51" s="236"/>
      <c r="J51" s="83"/>
      <c r="T51" s="103">
        <f>A50</f>
        <v>0</v>
      </c>
      <c r="U51" s="104" t="s">
        <v>39</v>
      </c>
      <c r="V51" s="104" t="s">
        <v>39</v>
      </c>
      <c r="W51" s="104" t="s">
        <v>40</v>
      </c>
      <c r="X51" s="104" t="s">
        <v>40</v>
      </c>
      <c r="Y51" s="104" t="s">
        <v>40</v>
      </c>
      <c r="Z51" s="105"/>
      <c r="AA51" s="155" t="s">
        <v>27</v>
      </c>
      <c r="AB51" s="155" t="s">
        <v>40</v>
      </c>
      <c r="AC51" s="155" t="s">
        <v>41</v>
      </c>
      <c r="AD51" s="156" t="s">
        <v>105</v>
      </c>
      <c r="AE51" s="104" t="s">
        <v>106</v>
      </c>
      <c r="AF51" s="107" t="s">
        <v>87</v>
      </c>
      <c r="AG51" s="107" t="s">
        <v>44</v>
      </c>
      <c r="AH51" s="107"/>
      <c r="AI51" s="104" t="s">
        <v>40</v>
      </c>
      <c r="AJ51" s="104" t="s">
        <v>41</v>
      </c>
      <c r="AK51" s="108"/>
      <c r="AL51" s="109"/>
      <c r="AO51" s="262" t="str">
        <f>informatieblad!$A$2</f>
        <v>FL20 loose</v>
      </c>
      <c r="AP51" s="262" t="str">
        <f>informatieblad!$A$3</f>
        <v>FL30 loose</v>
      </c>
      <c r="AQ51" s="263" t="str">
        <f>informatieblad!$A$4</f>
        <v>FL40 loose</v>
      </c>
      <c r="AR51" s="282"/>
      <c r="AS51" s="64"/>
      <c r="AT51" s="267"/>
      <c r="AU51" s="64"/>
      <c r="AV51" s="267"/>
      <c r="AW51" s="64"/>
      <c r="AX51" s="265" t="s">
        <v>47</v>
      </c>
      <c r="AY51" s="83" t="s">
        <v>23</v>
      </c>
      <c r="AZ51" s="273" t="s">
        <v>23</v>
      </c>
    </row>
    <row r="52" spans="1:52" ht="15.75" thickBot="1">
      <c r="A52" s="495"/>
      <c r="B52" s="227" t="s">
        <v>23</v>
      </c>
      <c r="C52" s="237"/>
      <c r="D52" s="229">
        <f>C52*V52</f>
        <v>0</v>
      </c>
      <c r="E52" s="230" t="s">
        <v>24</v>
      </c>
      <c r="F52" s="498" t="s">
        <v>25</v>
      </c>
      <c r="G52" s="452"/>
      <c r="H52" s="452"/>
      <c r="I52" s="453"/>
      <c r="J52" s="176"/>
      <c r="T52" s="111"/>
      <c r="U52" s="112">
        <f>(((2*(B50+C50))*(D50+25)))/1000000</f>
        <v>0</v>
      </c>
      <c r="V52" s="112">
        <f>((IF(U52&lt;=informatieblad!$I$19,informatieblad!$I$19,IF(U52&gt;=informatieblad!$I$19,U52))))</f>
        <v>0.5</v>
      </c>
      <c r="W52" s="112">
        <f>(((2*(B50+C50))*(D50+25)))/1000000</f>
        <v>0</v>
      </c>
      <c r="X52" s="112">
        <f>((IF(W52&lt;=informatieblad!$H$19,informatieblad!$H$19,IF(W52&gt;=informatieblad!$H$19,W52))))</f>
        <v>0</v>
      </c>
      <c r="Y52" s="113">
        <f>((X52*AI52)+(X52*AB52))*C52</f>
        <v>0</v>
      </c>
      <c r="Z52" s="114">
        <f>((V52*AJ52)+(V52*AC52))*C52</f>
        <v>0</v>
      </c>
      <c r="AA52" s="115" t="str">
        <f>F52</f>
        <v>Options None</v>
      </c>
      <c r="AB52" s="115">
        <f>VLOOKUP(F52,informatieblad!$A$37:$D$41,2,FALSE)</f>
        <v>0</v>
      </c>
      <c r="AC52" s="115">
        <f>VLOOKUP(F52,informatieblad!$A$37:$D$41,4,FALSE)</f>
        <v>0</v>
      </c>
      <c r="AD52" s="180">
        <f>(MAX(K50,L50))</f>
        <v>0</v>
      </c>
      <c r="AE52" s="119">
        <f>(MAX(M50,N50))</f>
        <v>0</v>
      </c>
      <c r="AF52" s="119">
        <f>(MAX(K50,M50))</f>
        <v>0</v>
      </c>
      <c r="AG52" s="119">
        <f>(MAX(B50:C50))</f>
        <v>0</v>
      </c>
      <c r="AH52" s="119">
        <f>LOOKUP(AG52,informatieblad!$C$27:$C$32,informatieblad!$A$27:$A$32)</f>
        <v>0.5</v>
      </c>
      <c r="AI52" s="118">
        <f>VLOOKUP(AH52,informatieblad!$A$27:$M$32,6,FALSE)</f>
        <v>0</v>
      </c>
      <c r="AJ52" s="118">
        <f>VLOOKUP(AH52,informatieblad!$A$27:$M$32,8,FALSE)</f>
        <v>45.1248</v>
      </c>
      <c r="AK52" s="120">
        <f>VLOOKUP(AH52,informatieblad!$A$27:$M$32,13,FALSE)</f>
        <v>4</v>
      </c>
      <c r="AL52" s="121">
        <f>ROUND((AK52*W52),1)</f>
        <v>0</v>
      </c>
      <c r="AO52" s="111">
        <f>(IF(B51=AO50,((2*B50)+(2*C50)),IF(B51=AO51,((2*B50)+(2*C50)),0)))*C52</f>
        <v>0</v>
      </c>
      <c r="AP52" s="111">
        <f>(IF(B51=AP50,((2*B50)+(2*C50)),IF(B51=AP51,((2*B50)+(2*C50)),0)))*C52</f>
        <v>0</v>
      </c>
      <c r="AQ52" s="261">
        <f>(IF(B51=AQ50,((2*B50)+(2*C50)),IF(B51=AQ51,((2*B50)+(2*C50)),0)))*C52</f>
        <v>0</v>
      </c>
      <c r="AR52" s="283">
        <f>(IF(B51=AR50,((2*B50)+(2*C50)),0))*C52</f>
        <v>0</v>
      </c>
      <c r="AS52" s="64"/>
      <c r="AT52" s="268"/>
      <c r="AU52" s="64"/>
      <c r="AV52" s="268">
        <f>(AG52+100)*C52</f>
        <v>0</v>
      </c>
      <c r="AW52" s="64"/>
      <c r="AX52" s="111" t="str">
        <f>IF(B51=informatieblad!$A$6,informatieblad!$B$6,IF(B51=informatieblad!$A$7,informatieblad!$B$7,IF(B51=informatieblad!$A$8,informatieblad!$B$8,IF(B51=informatieblad!$A$2,informatieblad!$B$2,IF(B51=informatieblad!$A$3,informatieblad!$B$3,IF(B51=informatieblad!$A$4,informatieblad!$B$4,IF(B51=informatieblad!$A$5,informatieblad!$B$5,"")))))))</f>
        <v/>
      </c>
      <c r="AY52" s="276">
        <f>IF(AX52=AY50,(4*C52),0)</f>
        <v>0</v>
      </c>
      <c r="AZ52" s="274">
        <f>IF(AX52=AZ50,(4*C52),0)</f>
        <v>0</v>
      </c>
    </row>
    <row r="53" spans="1:52" ht="5.0999999999999996" customHeight="1" thickBot="1">
      <c r="A53" s="231"/>
      <c r="B53" s="232"/>
      <c r="C53" s="232"/>
      <c r="D53" s="232"/>
      <c r="E53" s="232"/>
      <c r="F53" s="232"/>
      <c r="G53" s="232"/>
      <c r="H53" s="232"/>
      <c r="I53" s="233"/>
      <c r="J53" s="64"/>
    </row>
    <row r="54" spans="1:52" ht="15.75" thickBot="1">
      <c r="A54" s="494"/>
      <c r="B54" s="234"/>
      <c r="C54" s="234"/>
      <c r="D54" s="220">
        <f>(B54&gt;0)*$I$8</f>
        <v>0</v>
      </c>
      <c r="E54" s="221"/>
      <c r="F54" s="221"/>
      <c r="G54" s="221"/>
      <c r="H54" s="221"/>
      <c r="I54" s="222"/>
      <c r="J54" s="345" t="s">
        <v>20</v>
      </c>
      <c r="T54" s="97" t="s">
        <v>14</v>
      </c>
      <c r="U54" s="98" t="s">
        <v>27</v>
      </c>
      <c r="V54" s="98" t="s">
        <v>28</v>
      </c>
      <c r="W54" s="98" t="s">
        <v>27</v>
      </c>
      <c r="X54" s="98" t="s">
        <v>28</v>
      </c>
      <c r="Y54" s="98" t="s">
        <v>29</v>
      </c>
      <c r="Z54" s="66" t="s">
        <v>30</v>
      </c>
      <c r="AA54" s="153" t="s">
        <v>31</v>
      </c>
      <c r="AB54" s="153"/>
      <c r="AC54" s="153"/>
      <c r="AD54" s="154" t="s">
        <v>83</v>
      </c>
      <c r="AE54" s="100" t="s">
        <v>83</v>
      </c>
      <c r="AF54" s="100" t="s">
        <v>83</v>
      </c>
      <c r="AG54" s="100" t="s">
        <v>33</v>
      </c>
      <c r="AH54" s="100" t="s">
        <v>34</v>
      </c>
      <c r="AI54" s="98" t="s">
        <v>32</v>
      </c>
      <c r="AJ54" s="98" t="s">
        <v>32</v>
      </c>
      <c r="AK54" s="98" t="s">
        <v>49</v>
      </c>
      <c r="AL54" s="101" t="s">
        <v>36</v>
      </c>
      <c r="AO54" s="97" t="str">
        <f>informatieblad!$A$6</f>
        <v>FL20</v>
      </c>
      <c r="AP54" s="97" t="str">
        <f>informatieblad!$A$7</f>
        <v>FL30</v>
      </c>
      <c r="AQ54" s="99" t="str">
        <f>informatieblad!$A$8</f>
        <v>FL40</v>
      </c>
      <c r="AR54" s="266" t="str">
        <f>informatieblad!$A$5</f>
        <v>none</v>
      </c>
      <c r="AS54" s="64"/>
      <c r="AT54" s="266"/>
      <c r="AU54" s="64"/>
      <c r="AV54" s="266" t="s">
        <v>37</v>
      </c>
      <c r="AW54" s="64"/>
      <c r="AX54" s="269" t="s">
        <v>38</v>
      </c>
      <c r="AY54" s="272">
        <f>informatieblad!$B$3</f>
        <v>0</v>
      </c>
      <c r="AZ54" s="264">
        <f>informatieblad!$B$4</f>
        <v>0</v>
      </c>
    </row>
    <row r="55" spans="1:52">
      <c r="A55" s="475"/>
      <c r="B55" s="502" t="str">
        <f>IF($C56&gt;0,IF(MAX(B54,C54)&lt;informatieblad!$Q$4,informatieblad!$P$3,IF(MAX(B54,C54)&gt;informatieblad!$R$4,informatieblad!$P$5,informatieblad!$P$4)),"")</f>
        <v/>
      </c>
      <c r="C55" s="503"/>
      <c r="D55" s="223"/>
      <c r="E55" s="223"/>
      <c r="F55" s="224" t="str">
        <f>A54&amp;"-"&amp;informatieblad!$B$19&amp;"-"&amp;B54&amp;"-"&amp;C54&amp;"-"&amp;D54&amp;"-"&amp;B55&amp;"-"&amp;F56</f>
        <v>-RctS---0--Options None</v>
      </c>
      <c r="G55" s="235"/>
      <c r="H55" s="235"/>
      <c r="I55" s="236"/>
      <c r="J55" s="83"/>
      <c r="T55" s="103">
        <f>A54</f>
        <v>0</v>
      </c>
      <c r="U55" s="104" t="s">
        <v>39</v>
      </c>
      <c r="V55" s="104" t="s">
        <v>39</v>
      </c>
      <c r="W55" s="104" t="s">
        <v>40</v>
      </c>
      <c r="X55" s="104" t="s">
        <v>40</v>
      </c>
      <c r="Y55" s="104" t="s">
        <v>40</v>
      </c>
      <c r="Z55" s="105"/>
      <c r="AA55" s="155" t="s">
        <v>27</v>
      </c>
      <c r="AB55" s="155" t="s">
        <v>40</v>
      </c>
      <c r="AC55" s="155" t="s">
        <v>41</v>
      </c>
      <c r="AD55" s="156" t="s">
        <v>107</v>
      </c>
      <c r="AE55" s="104" t="s">
        <v>108</v>
      </c>
      <c r="AF55" s="107" t="s">
        <v>91</v>
      </c>
      <c r="AG55" s="107" t="s">
        <v>44</v>
      </c>
      <c r="AH55" s="107"/>
      <c r="AI55" s="104" t="s">
        <v>40</v>
      </c>
      <c r="AJ55" s="104" t="s">
        <v>41</v>
      </c>
      <c r="AK55" s="108"/>
      <c r="AL55" s="109"/>
      <c r="AO55" s="262" t="str">
        <f>informatieblad!$A$2</f>
        <v>FL20 loose</v>
      </c>
      <c r="AP55" s="262" t="str">
        <f>informatieblad!$A$3</f>
        <v>FL30 loose</v>
      </c>
      <c r="AQ55" s="263" t="str">
        <f>informatieblad!$A$4</f>
        <v>FL40 loose</v>
      </c>
      <c r="AR55" s="282"/>
      <c r="AS55" s="64"/>
      <c r="AT55" s="267"/>
      <c r="AU55" s="64"/>
      <c r="AV55" s="267"/>
      <c r="AW55" s="64"/>
      <c r="AX55" s="265" t="s">
        <v>47</v>
      </c>
      <c r="AY55" s="83" t="s">
        <v>23</v>
      </c>
      <c r="AZ55" s="273" t="s">
        <v>23</v>
      </c>
    </row>
    <row r="56" spans="1:52" ht="15.75" thickBot="1">
      <c r="A56" s="495"/>
      <c r="B56" s="227" t="s">
        <v>23</v>
      </c>
      <c r="C56" s="237"/>
      <c r="D56" s="229">
        <f>C56*V56</f>
        <v>0</v>
      </c>
      <c r="E56" s="230" t="s">
        <v>24</v>
      </c>
      <c r="F56" s="498" t="s">
        <v>25</v>
      </c>
      <c r="G56" s="452"/>
      <c r="H56" s="452"/>
      <c r="I56" s="453"/>
      <c r="J56" s="176"/>
      <c r="T56" s="111"/>
      <c r="U56" s="112">
        <f>(((2*(B54+C54))*(D54+25)))/1000000</f>
        <v>0</v>
      </c>
      <c r="V56" s="112">
        <f>((IF(U56&lt;=informatieblad!$I$19,informatieblad!$I$19,IF(U56&gt;=informatieblad!$I$19,U56))))</f>
        <v>0.5</v>
      </c>
      <c r="W56" s="112">
        <f>(((2*(B54+C54))*(D54+25)))/1000000</f>
        <v>0</v>
      </c>
      <c r="X56" s="112">
        <f>((IF(W56&lt;=informatieblad!$H$19,informatieblad!$H$19,IF(W56&gt;=informatieblad!$H$19,W56))))</f>
        <v>0</v>
      </c>
      <c r="Y56" s="113">
        <f>((X56*AI56)+(X56*AB56))*C56</f>
        <v>0</v>
      </c>
      <c r="Z56" s="114">
        <f>((V56*AJ56)+(V56*AC56))*C56</f>
        <v>0</v>
      </c>
      <c r="AA56" s="115" t="str">
        <f>F56</f>
        <v>Options None</v>
      </c>
      <c r="AB56" s="115">
        <f>VLOOKUP(F56,informatieblad!$A$37:$D$41,2,FALSE)</f>
        <v>0</v>
      </c>
      <c r="AC56" s="115">
        <f>VLOOKUP(F56,informatieblad!$A$37:$D$41,4,FALSE)</f>
        <v>0</v>
      </c>
      <c r="AD56" s="180">
        <f>(MAX(K54,L54))</f>
        <v>0</v>
      </c>
      <c r="AE56" s="119">
        <f>(MAX(M54,N54))</f>
        <v>0</v>
      </c>
      <c r="AF56" s="119">
        <f>(MAX(K54,M54))</f>
        <v>0</v>
      </c>
      <c r="AG56" s="119">
        <f>(MAX(B54:C54))</f>
        <v>0</v>
      </c>
      <c r="AH56" s="119">
        <f>LOOKUP(AG56,informatieblad!$C$27:$C$32,informatieblad!$A$27:$A$32)</f>
        <v>0.5</v>
      </c>
      <c r="AI56" s="118">
        <f>VLOOKUP(AH56,informatieblad!$A$27:$M$32,6,FALSE)</f>
        <v>0</v>
      </c>
      <c r="AJ56" s="118">
        <f>VLOOKUP(AH56,informatieblad!$A$27:$M$32,8,FALSE)</f>
        <v>45.1248</v>
      </c>
      <c r="AK56" s="120">
        <f>VLOOKUP(AH56,informatieblad!$A$27:$M$32,13,FALSE)</f>
        <v>4</v>
      </c>
      <c r="AL56" s="121">
        <f>ROUND((AK56*W56),1)</f>
        <v>0</v>
      </c>
      <c r="AO56" s="111">
        <f>(IF(B55=AO54,((2*B54)+(2*C54)),IF(B55=AO55,((2*B54)+(2*C54)),0)))*C56</f>
        <v>0</v>
      </c>
      <c r="AP56" s="111">
        <f>(IF(B55=AP54,((2*B54)+(2*C54)),IF(B55=AP55,((2*B54)+(2*C54)),0)))*C56</f>
        <v>0</v>
      </c>
      <c r="AQ56" s="261">
        <f>(IF(B55=AQ54,((2*B54)+(2*C54)),IF(B55=AQ55,((2*B54)+(2*C54)),0)))*C56</f>
        <v>0</v>
      </c>
      <c r="AR56" s="283">
        <f>(IF(B55=AR54,((2*B54)+(2*C54)),0))*C56</f>
        <v>0</v>
      </c>
      <c r="AS56" s="64"/>
      <c r="AT56" s="268"/>
      <c r="AU56" s="64"/>
      <c r="AV56" s="268">
        <f>(AG56+100)*C56</f>
        <v>0</v>
      </c>
      <c r="AW56" s="64"/>
      <c r="AX56" s="111" t="str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/>
      </c>
      <c r="AY56" s="276">
        <f>IF(AX56=AY54,(4*C56),0)</f>
        <v>0</v>
      </c>
      <c r="AZ56" s="274">
        <f>IF(AX56=AZ54,(4*C56),0)</f>
        <v>0</v>
      </c>
    </row>
    <row r="57" spans="1:52" ht="5.0999999999999996" customHeight="1" thickBot="1">
      <c r="A57" s="231"/>
      <c r="B57" s="232"/>
      <c r="C57" s="232"/>
      <c r="D57" s="232"/>
      <c r="E57" s="232"/>
      <c r="F57" s="232"/>
      <c r="G57" s="232"/>
      <c r="H57" s="232"/>
      <c r="I57" s="233"/>
      <c r="J57" s="64"/>
    </row>
    <row r="58" spans="1:52" ht="15.75" thickBot="1">
      <c r="A58" s="494"/>
      <c r="B58" s="234"/>
      <c r="C58" s="234"/>
      <c r="D58" s="220">
        <f>(B58&gt;0)*$I$8</f>
        <v>0</v>
      </c>
      <c r="E58" s="221"/>
      <c r="F58" s="221"/>
      <c r="G58" s="221"/>
      <c r="H58" s="221"/>
      <c r="I58" s="222"/>
      <c r="J58" s="345" t="s">
        <v>20</v>
      </c>
      <c r="T58" s="97" t="s">
        <v>14</v>
      </c>
      <c r="U58" s="98" t="s">
        <v>27</v>
      </c>
      <c r="V58" s="98" t="s">
        <v>28</v>
      </c>
      <c r="W58" s="98" t="s">
        <v>27</v>
      </c>
      <c r="X58" s="98" t="s">
        <v>28</v>
      </c>
      <c r="Y58" s="98" t="s">
        <v>29</v>
      </c>
      <c r="Z58" s="66" t="s">
        <v>30</v>
      </c>
      <c r="AA58" s="153" t="s">
        <v>31</v>
      </c>
      <c r="AB58" s="153"/>
      <c r="AC58" s="153"/>
      <c r="AD58" s="154" t="s">
        <v>83</v>
      </c>
      <c r="AE58" s="100" t="s">
        <v>83</v>
      </c>
      <c r="AF58" s="100" t="s">
        <v>83</v>
      </c>
      <c r="AG58" s="100" t="s">
        <v>33</v>
      </c>
      <c r="AH58" s="100" t="s">
        <v>34</v>
      </c>
      <c r="AI58" s="98" t="s">
        <v>32</v>
      </c>
      <c r="AJ58" s="98" t="s">
        <v>32</v>
      </c>
      <c r="AK58" s="98" t="s">
        <v>49</v>
      </c>
      <c r="AL58" s="101" t="s">
        <v>36</v>
      </c>
      <c r="AO58" s="97" t="str">
        <f>informatieblad!$A$6</f>
        <v>FL20</v>
      </c>
      <c r="AP58" s="97" t="str">
        <f>informatieblad!$A$7</f>
        <v>FL30</v>
      </c>
      <c r="AQ58" s="99" t="str">
        <f>informatieblad!$A$8</f>
        <v>FL40</v>
      </c>
      <c r="AR58" s="266" t="str">
        <f>informatieblad!$A$5</f>
        <v>none</v>
      </c>
      <c r="AS58" s="64"/>
      <c r="AT58" s="266"/>
      <c r="AU58" s="64"/>
      <c r="AV58" s="266" t="s">
        <v>37</v>
      </c>
      <c r="AW58" s="64"/>
      <c r="AX58" s="269" t="s">
        <v>38</v>
      </c>
      <c r="AY58" s="272">
        <f>informatieblad!$B$3</f>
        <v>0</v>
      </c>
      <c r="AZ58" s="264">
        <f>informatieblad!$B$4</f>
        <v>0</v>
      </c>
    </row>
    <row r="59" spans="1:52">
      <c r="A59" s="475"/>
      <c r="B59" s="502" t="str">
        <f>IF($C60&gt;0,IF(MAX(B58,C58)&lt;informatieblad!$Q$4,informatieblad!$P$3,IF(MAX(B58,C58)&gt;informatieblad!$R$4,informatieblad!$P$5,informatieblad!$P$4)),"")</f>
        <v/>
      </c>
      <c r="C59" s="503"/>
      <c r="D59" s="223"/>
      <c r="E59" s="223"/>
      <c r="F59" s="224" t="str">
        <f>A58&amp;"-"&amp;informatieblad!$B$19&amp;"-"&amp;B58&amp;"-"&amp;C58&amp;"-"&amp;D58&amp;"-"&amp;B59&amp;"-"&amp;F60</f>
        <v>-RctS---0--Options None</v>
      </c>
      <c r="G59" s="235"/>
      <c r="H59" s="235"/>
      <c r="I59" s="236"/>
      <c r="J59" s="83"/>
      <c r="T59" s="103">
        <f>A58</f>
        <v>0</v>
      </c>
      <c r="U59" s="104" t="s">
        <v>39</v>
      </c>
      <c r="V59" s="104" t="s">
        <v>39</v>
      </c>
      <c r="W59" s="104" t="s">
        <v>40</v>
      </c>
      <c r="X59" s="104" t="s">
        <v>40</v>
      </c>
      <c r="Y59" s="104" t="s">
        <v>40</v>
      </c>
      <c r="Z59" s="105"/>
      <c r="AA59" s="155" t="s">
        <v>27</v>
      </c>
      <c r="AB59" s="155" t="s">
        <v>40</v>
      </c>
      <c r="AC59" s="155" t="s">
        <v>41</v>
      </c>
      <c r="AD59" s="156" t="s">
        <v>107</v>
      </c>
      <c r="AE59" s="104" t="s">
        <v>108</v>
      </c>
      <c r="AF59" s="107" t="s">
        <v>91</v>
      </c>
      <c r="AG59" s="107" t="s">
        <v>44</v>
      </c>
      <c r="AH59" s="107"/>
      <c r="AI59" s="104" t="s">
        <v>40</v>
      </c>
      <c r="AJ59" s="104" t="s">
        <v>41</v>
      </c>
      <c r="AK59" s="108"/>
      <c r="AL59" s="109"/>
      <c r="AO59" s="262" t="str">
        <f>informatieblad!$A$2</f>
        <v>FL20 loose</v>
      </c>
      <c r="AP59" s="262" t="str">
        <f>informatieblad!$A$3</f>
        <v>FL30 loose</v>
      </c>
      <c r="AQ59" s="263" t="str">
        <f>informatieblad!$A$4</f>
        <v>FL40 loose</v>
      </c>
      <c r="AR59" s="282"/>
      <c r="AS59" s="64"/>
      <c r="AT59" s="267"/>
      <c r="AU59" s="64"/>
      <c r="AV59" s="267"/>
      <c r="AW59" s="64"/>
      <c r="AX59" s="265" t="s">
        <v>47</v>
      </c>
      <c r="AY59" s="83" t="s">
        <v>23</v>
      </c>
      <c r="AZ59" s="273" t="s">
        <v>23</v>
      </c>
    </row>
    <row r="60" spans="1:52" ht="15.75" thickBot="1">
      <c r="A60" s="495"/>
      <c r="B60" s="227" t="s">
        <v>23</v>
      </c>
      <c r="C60" s="237"/>
      <c r="D60" s="229">
        <f>C60*V60</f>
        <v>0</v>
      </c>
      <c r="E60" s="230" t="s">
        <v>24</v>
      </c>
      <c r="F60" s="498" t="s">
        <v>25</v>
      </c>
      <c r="G60" s="452"/>
      <c r="H60" s="452"/>
      <c r="I60" s="453"/>
      <c r="J60" s="176"/>
      <c r="T60" s="111"/>
      <c r="U60" s="112">
        <f>(((2*(B58+C58))*(D58+25)))/1000000</f>
        <v>0</v>
      </c>
      <c r="V60" s="112">
        <f>((IF(U60&lt;=informatieblad!$I$19,informatieblad!$I$19,IF(U60&gt;=informatieblad!$I$19,U60))))</f>
        <v>0.5</v>
      </c>
      <c r="W60" s="112">
        <f>(((2*(B58+C58))*(D58+25)))/1000000</f>
        <v>0</v>
      </c>
      <c r="X60" s="112">
        <f>((IF(W60&lt;=informatieblad!$H$19,informatieblad!$H$19,IF(W60&gt;=informatieblad!$H$19,W60))))</f>
        <v>0</v>
      </c>
      <c r="Y60" s="113">
        <f>((X60*AI60)+(X60*AB60))*C60</f>
        <v>0</v>
      </c>
      <c r="Z60" s="114">
        <f>((V60*AJ60)+(V60*AC60))*C60</f>
        <v>0</v>
      </c>
      <c r="AA60" s="115" t="str">
        <f>F60</f>
        <v>Options None</v>
      </c>
      <c r="AB60" s="115">
        <f>VLOOKUP(F60,informatieblad!$A$37:$D$41,2,FALSE)</f>
        <v>0</v>
      </c>
      <c r="AC60" s="115">
        <f>VLOOKUP(F60,informatieblad!$A$37:$D$41,4,FALSE)</f>
        <v>0</v>
      </c>
      <c r="AD60" s="180">
        <f>(MAX(K58,L58))</f>
        <v>0</v>
      </c>
      <c r="AE60" s="119">
        <f>(MAX(M58,N58))</f>
        <v>0</v>
      </c>
      <c r="AF60" s="119">
        <f>(MAX(K58,M58))</f>
        <v>0</v>
      </c>
      <c r="AG60" s="119">
        <f>(MAX(B58:C58))</f>
        <v>0</v>
      </c>
      <c r="AH60" s="119">
        <f>LOOKUP(AG60,informatieblad!$C$27:$C$32,informatieblad!$A$27:$A$32)</f>
        <v>0.5</v>
      </c>
      <c r="AI60" s="118">
        <f>VLOOKUP(AH60,informatieblad!$A$27:$M$32,6,FALSE)</f>
        <v>0</v>
      </c>
      <c r="AJ60" s="118">
        <f>VLOOKUP(AH60,informatieblad!$A$27:$M$32,8,FALSE)</f>
        <v>45.1248</v>
      </c>
      <c r="AK60" s="120">
        <f>VLOOKUP(AH60,informatieblad!$A$27:$M$32,13,FALSE)</f>
        <v>4</v>
      </c>
      <c r="AL60" s="121">
        <f>ROUND((AK60*W60),1)</f>
        <v>0</v>
      </c>
      <c r="AO60" s="111">
        <f>(IF(B59=AO58,((2*B58)+(2*C58)),IF(B59=AO59,((2*B58)+(2*C58)),0)))*C60</f>
        <v>0</v>
      </c>
      <c r="AP60" s="111">
        <f>(IF(B59=AP58,((2*B58)+(2*C58)),IF(B59=AP59,((2*B58)+(2*C58)),0)))*C60</f>
        <v>0</v>
      </c>
      <c r="AQ60" s="261">
        <f>(IF(B59=AQ58,((2*B58)+(2*C58)),IF(B59=AQ59,((2*B58)+(2*C58)),0)))*C60</f>
        <v>0</v>
      </c>
      <c r="AR60" s="283">
        <f>(IF(B59=AR58,((2*B58)+(2*C58)),0))*C60</f>
        <v>0</v>
      </c>
      <c r="AS60" s="64"/>
      <c r="AT60" s="268"/>
      <c r="AU60" s="64"/>
      <c r="AV60" s="268">
        <f>(AG60+100)*C60</f>
        <v>0</v>
      </c>
      <c r="AW60" s="64"/>
      <c r="AX60" s="111" t="str">
        <f>IF(B59=informatieblad!$A$6,informatieblad!$B$6,IF(B59=informatieblad!$A$7,informatieblad!$B$7,IF(B59=informatieblad!$A$8,informatieblad!$B$8,IF(B59=informatieblad!$A$2,informatieblad!$B$2,IF(B59=informatieblad!$A$3,informatieblad!$B$3,IF(B59=informatieblad!$A$4,informatieblad!$B$4,IF(B59=informatieblad!$A$5,informatieblad!$B$5,"")))))))</f>
        <v/>
      </c>
      <c r="AY60" s="276">
        <f>IF(AX60=AY58,(4*C60),0)</f>
        <v>0</v>
      </c>
      <c r="AZ60" s="274">
        <f>IF(AX60=AZ58,(4*C60),0)</f>
        <v>0</v>
      </c>
    </row>
    <row r="61" spans="1:52" ht="5.0999999999999996" customHeight="1" thickBot="1">
      <c r="A61" s="231"/>
      <c r="B61" s="232"/>
      <c r="C61" s="232"/>
      <c r="D61" s="232"/>
      <c r="E61" s="232"/>
      <c r="F61" s="232"/>
      <c r="G61" s="232"/>
      <c r="H61" s="232"/>
      <c r="I61" s="233"/>
      <c r="J61" s="64"/>
    </row>
    <row r="62" spans="1:52" ht="15.75" thickBot="1">
      <c r="A62" s="494"/>
      <c r="B62" s="234"/>
      <c r="C62" s="234"/>
      <c r="D62" s="220">
        <f>(B62&gt;0)*$I$8</f>
        <v>0</v>
      </c>
      <c r="E62" s="221"/>
      <c r="F62" s="221"/>
      <c r="G62" s="221"/>
      <c r="H62" s="221"/>
      <c r="I62" s="222"/>
      <c r="J62" s="345" t="s">
        <v>20</v>
      </c>
      <c r="T62" s="97" t="s">
        <v>14</v>
      </c>
      <c r="U62" s="98" t="s">
        <v>27</v>
      </c>
      <c r="V62" s="98" t="s">
        <v>28</v>
      </c>
      <c r="W62" s="98" t="s">
        <v>27</v>
      </c>
      <c r="X62" s="98" t="s">
        <v>28</v>
      </c>
      <c r="Y62" s="98" t="s">
        <v>29</v>
      </c>
      <c r="Z62" s="66" t="s">
        <v>30</v>
      </c>
      <c r="AA62" s="153" t="s">
        <v>31</v>
      </c>
      <c r="AB62" s="153"/>
      <c r="AC62" s="153"/>
      <c r="AD62" s="154" t="s">
        <v>83</v>
      </c>
      <c r="AE62" s="100" t="s">
        <v>83</v>
      </c>
      <c r="AF62" s="100" t="s">
        <v>83</v>
      </c>
      <c r="AG62" s="100" t="s">
        <v>33</v>
      </c>
      <c r="AH62" s="100" t="s">
        <v>34</v>
      </c>
      <c r="AI62" s="98" t="s">
        <v>32</v>
      </c>
      <c r="AJ62" s="98" t="s">
        <v>32</v>
      </c>
      <c r="AK62" s="98" t="s">
        <v>49</v>
      </c>
      <c r="AL62" s="101" t="s">
        <v>36</v>
      </c>
      <c r="AO62" s="97" t="str">
        <f>informatieblad!$A$6</f>
        <v>FL20</v>
      </c>
      <c r="AP62" s="97" t="str">
        <f>informatieblad!$A$7</f>
        <v>FL30</v>
      </c>
      <c r="AQ62" s="99" t="str">
        <f>informatieblad!$A$8</f>
        <v>FL40</v>
      </c>
      <c r="AR62" s="266" t="str">
        <f>informatieblad!$A$5</f>
        <v>none</v>
      </c>
      <c r="AS62" s="64"/>
      <c r="AT62" s="266"/>
      <c r="AU62" s="64"/>
      <c r="AV62" s="266" t="s">
        <v>37</v>
      </c>
      <c r="AW62" s="64"/>
      <c r="AX62" s="269" t="s">
        <v>38</v>
      </c>
      <c r="AY62" s="272">
        <f>informatieblad!$B$3</f>
        <v>0</v>
      </c>
      <c r="AZ62" s="264">
        <f>informatieblad!$B$4</f>
        <v>0</v>
      </c>
    </row>
    <row r="63" spans="1:52">
      <c r="A63" s="475"/>
      <c r="B63" s="502" t="str">
        <f>IF($C64&gt;0,IF(MAX(B62,C62)&lt;informatieblad!$Q$4,informatieblad!$P$3,IF(MAX(B62,C62)&gt;informatieblad!$R$4,informatieblad!$P$5,informatieblad!$P$4)),"")</f>
        <v/>
      </c>
      <c r="C63" s="503"/>
      <c r="D63" s="223"/>
      <c r="E63" s="223"/>
      <c r="F63" s="224" t="str">
        <f>A62&amp;"-"&amp;informatieblad!$B$19&amp;"-"&amp;B62&amp;"-"&amp;C62&amp;"-"&amp;D62&amp;"-"&amp;B63&amp;"-"&amp;F64</f>
        <v>-RctS---0--Options None</v>
      </c>
      <c r="G63" s="235"/>
      <c r="H63" s="235"/>
      <c r="I63" s="236"/>
      <c r="J63" s="83"/>
      <c r="T63" s="103">
        <f>A62</f>
        <v>0</v>
      </c>
      <c r="U63" s="104" t="s">
        <v>39</v>
      </c>
      <c r="V63" s="104" t="s">
        <v>39</v>
      </c>
      <c r="W63" s="104" t="s">
        <v>40</v>
      </c>
      <c r="X63" s="104" t="s">
        <v>40</v>
      </c>
      <c r="Y63" s="104" t="s">
        <v>40</v>
      </c>
      <c r="Z63" s="105"/>
      <c r="AA63" s="155" t="s">
        <v>27</v>
      </c>
      <c r="AB63" s="155" t="s">
        <v>40</v>
      </c>
      <c r="AC63" s="155" t="s">
        <v>41</v>
      </c>
      <c r="AD63" s="156" t="s">
        <v>107</v>
      </c>
      <c r="AE63" s="104" t="s">
        <v>108</v>
      </c>
      <c r="AF63" s="107" t="s">
        <v>91</v>
      </c>
      <c r="AG63" s="107" t="s">
        <v>44</v>
      </c>
      <c r="AH63" s="107"/>
      <c r="AI63" s="104" t="s">
        <v>40</v>
      </c>
      <c r="AJ63" s="104" t="s">
        <v>41</v>
      </c>
      <c r="AK63" s="108"/>
      <c r="AL63" s="109"/>
      <c r="AO63" s="262" t="str">
        <f>informatieblad!$A$2</f>
        <v>FL20 loose</v>
      </c>
      <c r="AP63" s="262" t="str">
        <f>informatieblad!$A$3</f>
        <v>FL30 loose</v>
      </c>
      <c r="AQ63" s="263" t="str">
        <f>informatieblad!$A$4</f>
        <v>FL40 loose</v>
      </c>
      <c r="AR63" s="282"/>
      <c r="AS63" s="64"/>
      <c r="AT63" s="267"/>
      <c r="AU63" s="64"/>
      <c r="AV63" s="267"/>
      <c r="AW63" s="64"/>
      <c r="AX63" s="265" t="s">
        <v>47</v>
      </c>
      <c r="AY63" s="83" t="s">
        <v>23</v>
      </c>
      <c r="AZ63" s="273" t="s">
        <v>23</v>
      </c>
    </row>
    <row r="64" spans="1:52" ht="15.75" thickBot="1">
      <c r="A64" s="495"/>
      <c r="B64" s="227" t="s">
        <v>23</v>
      </c>
      <c r="C64" s="237"/>
      <c r="D64" s="229">
        <f>C64*V64</f>
        <v>0</v>
      </c>
      <c r="E64" s="230" t="s">
        <v>24</v>
      </c>
      <c r="F64" s="498" t="s">
        <v>25</v>
      </c>
      <c r="G64" s="452"/>
      <c r="H64" s="452"/>
      <c r="I64" s="453"/>
      <c r="J64" s="176"/>
      <c r="T64" s="111"/>
      <c r="U64" s="112">
        <f>(((2*(B62+C62))*(D62+25)))/1000000</f>
        <v>0</v>
      </c>
      <c r="V64" s="112">
        <f>((IF(U64&lt;=informatieblad!$I$19,informatieblad!$I$19,IF(U64&gt;=informatieblad!$I$19,U64))))</f>
        <v>0.5</v>
      </c>
      <c r="W64" s="112">
        <f>(((2*(B62+C62))*(D62+25)))/1000000</f>
        <v>0</v>
      </c>
      <c r="X64" s="112">
        <f>((IF(W64&lt;=informatieblad!$H$19,informatieblad!$H$19,IF(W64&gt;=informatieblad!$H$19,W64))))</f>
        <v>0</v>
      </c>
      <c r="Y64" s="113">
        <f>((X64*AI64)+(X64*AB64))*C64</f>
        <v>0</v>
      </c>
      <c r="Z64" s="114">
        <f>((V64*AJ64)+(V64*AC64))*C64</f>
        <v>0</v>
      </c>
      <c r="AA64" s="115" t="str">
        <f>F64</f>
        <v>Options None</v>
      </c>
      <c r="AB64" s="115">
        <f>VLOOKUP(F64,informatieblad!$A$37:$D$41,2,FALSE)</f>
        <v>0</v>
      </c>
      <c r="AC64" s="115">
        <f>VLOOKUP(F64,informatieblad!$A$37:$D$41,4,FALSE)</f>
        <v>0</v>
      </c>
      <c r="AD64" s="180">
        <f>(MAX(K62,L62))</f>
        <v>0</v>
      </c>
      <c r="AE64" s="119">
        <f>(MAX(M62,N62))</f>
        <v>0</v>
      </c>
      <c r="AF64" s="119">
        <f>(MAX(K62,M62))</f>
        <v>0</v>
      </c>
      <c r="AG64" s="119">
        <f>(MAX(B62:C62))</f>
        <v>0</v>
      </c>
      <c r="AH64" s="119">
        <f>LOOKUP(AG64,informatieblad!$C$27:$C$32,informatieblad!$A$27:$A$32)</f>
        <v>0.5</v>
      </c>
      <c r="AI64" s="118">
        <f>VLOOKUP(AH64,informatieblad!$A$27:$M$32,6,FALSE)</f>
        <v>0</v>
      </c>
      <c r="AJ64" s="118">
        <f>VLOOKUP(AH64,informatieblad!$A$27:$M$32,8,FALSE)</f>
        <v>45.1248</v>
      </c>
      <c r="AK64" s="120">
        <f>VLOOKUP(AH64,informatieblad!$A$27:$M$32,13,FALSE)</f>
        <v>4</v>
      </c>
      <c r="AL64" s="121">
        <f>ROUND((AK64*W64),1)</f>
        <v>0</v>
      </c>
      <c r="AO64" s="111">
        <f>(IF(B63=AO62,((2*B62)+(2*C62)),IF(B63=AO63,((2*B62)+(2*C62)),0)))*C64</f>
        <v>0</v>
      </c>
      <c r="AP64" s="111">
        <f>(IF(B63=AP62,((2*B62)+(2*C62)),IF(B63=AP63,((2*B62)+(2*C62)),0)))*C64</f>
        <v>0</v>
      </c>
      <c r="AQ64" s="261">
        <f>(IF(B63=AQ62,((2*B62)+(2*C62)),IF(B63=AQ63,((2*B62)+(2*C62)),0)))*C64</f>
        <v>0</v>
      </c>
      <c r="AR64" s="283">
        <f>(IF(B63=AR62,((2*B62)+(2*C62)),0))*C64</f>
        <v>0</v>
      </c>
      <c r="AS64" s="64"/>
      <c r="AT64" s="268"/>
      <c r="AU64" s="64"/>
      <c r="AV64" s="268">
        <f>(AG64+100)*C64</f>
        <v>0</v>
      </c>
      <c r="AW64" s="64"/>
      <c r="AX64" s="111" t="str">
        <f>IF(B63=informatieblad!$A$6,informatieblad!$B$6,IF(B63=informatieblad!$A$7,informatieblad!$B$7,IF(B63=informatieblad!$A$8,informatieblad!$B$8,IF(B63=informatieblad!$A$2,informatieblad!$B$2,IF(B63=informatieblad!$A$3,informatieblad!$B$3,IF(B63=informatieblad!$A$4,informatieblad!$B$4,IF(B63=informatieblad!$A$5,informatieblad!$B$5,"")))))))</f>
        <v/>
      </c>
      <c r="AY64" s="276">
        <f>IF(AX64=AY62,(4*C64),0)</f>
        <v>0</v>
      </c>
      <c r="AZ64" s="274">
        <f>IF(AX64=AZ62,(4*C64),0)</f>
        <v>0</v>
      </c>
    </row>
    <row r="65" spans="1:52" ht="5.0999999999999996" customHeight="1" thickBot="1">
      <c r="A65" s="231"/>
      <c r="B65" s="232"/>
      <c r="C65" s="232"/>
      <c r="D65" s="232"/>
      <c r="E65" s="232"/>
      <c r="F65" s="232"/>
      <c r="G65" s="232"/>
      <c r="H65" s="232"/>
      <c r="I65" s="233"/>
      <c r="J65" s="64"/>
    </row>
    <row r="66" spans="1:52" ht="15.75" thickBot="1">
      <c r="A66" s="494"/>
      <c r="B66" s="234"/>
      <c r="C66" s="234"/>
      <c r="D66" s="220">
        <f>(B66&gt;0)*$I$8</f>
        <v>0</v>
      </c>
      <c r="E66" s="221"/>
      <c r="F66" s="221"/>
      <c r="G66" s="221"/>
      <c r="H66" s="221"/>
      <c r="I66" s="222"/>
      <c r="J66" s="345" t="s">
        <v>20</v>
      </c>
      <c r="T66" s="97" t="s">
        <v>14</v>
      </c>
      <c r="U66" s="98" t="s">
        <v>27</v>
      </c>
      <c r="V66" s="98" t="s">
        <v>28</v>
      </c>
      <c r="W66" s="98" t="s">
        <v>27</v>
      </c>
      <c r="X66" s="98" t="s">
        <v>28</v>
      </c>
      <c r="Y66" s="98" t="s">
        <v>29</v>
      </c>
      <c r="Z66" s="66" t="s">
        <v>30</v>
      </c>
      <c r="AA66" s="153" t="s">
        <v>31</v>
      </c>
      <c r="AB66" s="153"/>
      <c r="AC66" s="153"/>
      <c r="AD66" s="154" t="s">
        <v>83</v>
      </c>
      <c r="AE66" s="100" t="s">
        <v>83</v>
      </c>
      <c r="AF66" s="100" t="s">
        <v>83</v>
      </c>
      <c r="AG66" s="100" t="s">
        <v>33</v>
      </c>
      <c r="AH66" s="100" t="s">
        <v>34</v>
      </c>
      <c r="AI66" s="98" t="s">
        <v>32</v>
      </c>
      <c r="AJ66" s="98" t="s">
        <v>32</v>
      </c>
      <c r="AK66" s="98" t="s">
        <v>49</v>
      </c>
      <c r="AL66" s="101" t="s">
        <v>36</v>
      </c>
      <c r="AO66" s="97" t="str">
        <f>informatieblad!$A$6</f>
        <v>FL20</v>
      </c>
      <c r="AP66" s="97" t="str">
        <f>informatieblad!$A$7</f>
        <v>FL30</v>
      </c>
      <c r="AQ66" s="99" t="str">
        <f>informatieblad!$A$8</f>
        <v>FL40</v>
      </c>
      <c r="AR66" s="266" t="str">
        <f>informatieblad!$A$5</f>
        <v>none</v>
      </c>
      <c r="AS66" s="64"/>
      <c r="AT66" s="266"/>
      <c r="AU66" s="64"/>
      <c r="AV66" s="266" t="s">
        <v>37</v>
      </c>
      <c r="AW66" s="64"/>
      <c r="AX66" s="269" t="s">
        <v>38</v>
      </c>
      <c r="AY66" s="272">
        <f>informatieblad!$B$3</f>
        <v>0</v>
      </c>
      <c r="AZ66" s="264">
        <f>informatieblad!$B$4</f>
        <v>0</v>
      </c>
    </row>
    <row r="67" spans="1:52">
      <c r="A67" s="475"/>
      <c r="B67" s="502" t="str">
        <f>IF($C68&gt;0,IF(MAX(B66,C66)&lt;informatieblad!$Q$4,informatieblad!$P$3,IF(MAX(B66,C66)&gt;informatieblad!$R$4,informatieblad!$P$5,informatieblad!$P$4)),"")</f>
        <v/>
      </c>
      <c r="C67" s="503"/>
      <c r="D67" s="223"/>
      <c r="E67" s="223"/>
      <c r="F67" s="224" t="str">
        <f>A66&amp;"-"&amp;informatieblad!$B$19&amp;"-"&amp;B66&amp;"-"&amp;C66&amp;"-"&amp;D66&amp;"-"&amp;B67&amp;"-"&amp;F68</f>
        <v>-RctS---0--Options None</v>
      </c>
      <c r="G67" s="235"/>
      <c r="H67" s="235"/>
      <c r="I67" s="236"/>
      <c r="J67" s="83"/>
      <c r="T67" s="103">
        <f>A66</f>
        <v>0</v>
      </c>
      <c r="U67" s="104" t="s">
        <v>39</v>
      </c>
      <c r="V67" s="104" t="s">
        <v>39</v>
      </c>
      <c r="W67" s="104" t="s">
        <v>40</v>
      </c>
      <c r="X67" s="104" t="s">
        <v>40</v>
      </c>
      <c r="Y67" s="104" t="s">
        <v>40</v>
      </c>
      <c r="Z67" s="105"/>
      <c r="AA67" s="155" t="s">
        <v>27</v>
      </c>
      <c r="AB67" s="155" t="s">
        <v>40</v>
      </c>
      <c r="AC67" s="155" t="s">
        <v>41</v>
      </c>
      <c r="AD67" s="156" t="s">
        <v>107</v>
      </c>
      <c r="AE67" s="104" t="s">
        <v>108</v>
      </c>
      <c r="AF67" s="107" t="s">
        <v>91</v>
      </c>
      <c r="AG67" s="107" t="s">
        <v>44</v>
      </c>
      <c r="AH67" s="107"/>
      <c r="AI67" s="104" t="s">
        <v>40</v>
      </c>
      <c r="AJ67" s="104" t="s">
        <v>41</v>
      </c>
      <c r="AK67" s="108"/>
      <c r="AL67" s="109"/>
      <c r="AO67" s="262" t="str">
        <f>informatieblad!$A$2</f>
        <v>FL20 loose</v>
      </c>
      <c r="AP67" s="262" t="str">
        <f>informatieblad!$A$3</f>
        <v>FL30 loose</v>
      </c>
      <c r="AQ67" s="263" t="str">
        <f>informatieblad!$A$4</f>
        <v>FL40 loose</v>
      </c>
      <c r="AR67" s="282"/>
      <c r="AS67" s="64"/>
      <c r="AT67" s="267"/>
      <c r="AU67" s="64"/>
      <c r="AV67" s="267"/>
      <c r="AW67" s="64"/>
      <c r="AX67" s="265" t="s">
        <v>47</v>
      </c>
      <c r="AY67" s="83" t="s">
        <v>23</v>
      </c>
      <c r="AZ67" s="273" t="s">
        <v>23</v>
      </c>
    </row>
    <row r="68" spans="1:52" ht="15.75" thickBot="1">
      <c r="A68" s="495"/>
      <c r="B68" s="227" t="s">
        <v>23</v>
      </c>
      <c r="C68" s="237"/>
      <c r="D68" s="229">
        <f>C68*V68</f>
        <v>0</v>
      </c>
      <c r="E68" s="230" t="s">
        <v>24</v>
      </c>
      <c r="F68" s="498" t="s">
        <v>25</v>
      </c>
      <c r="G68" s="452"/>
      <c r="H68" s="452"/>
      <c r="I68" s="453"/>
      <c r="J68" s="176"/>
      <c r="T68" s="111"/>
      <c r="U68" s="112">
        <f>(((2*(B66+C66))*(D66+25)))/1000000</f>
        <v>0</v>
      </c>
      <c r="V68" s="112">
        <f>((IF(U68&lt;=informatieblad!$I$19,informatieblad!$I$19,IF(U68&gt;=informatieblad!$I$19,U68))))</f>
        <v>0.5</v>
      </c>
      <c r="W68" s="112">
        <f>(((2*(B66+C66))*(D66+25)))/1000000</f>
        <v>0</v>
      </c>
      <c r="X68" s="112">
        <f>((IF(W68&lt;=informatieblad!$H$19,informatieblad!$H$19,IF(W68&gt;=informatieblad!$H$19,W68))))</f>
        <v>0</v>
      </c>
      <c r="Y68" s="113">
        <f>((X68*AI68)+(X68*AB68))*C68</f>
        <v>0</v>
      </c>
      <c r="Z68" s="114">
        <f>((V68*AJ68)+(V68*AC68))*C68</f>
        <v>0</v>
      </c>
      <c r="AA68" s="115" t="str">
        <f>F68</f>
        <v>Options None</v>
      </c>
      <c r="AB68" s="115">
        <f>VLOOKUP(F68,informatieblad!$A$37:$D$41,2,FALSE)</f>
        <v>0</v>
      </c>
      <c r="AC68" s="115">
        <f>VLOOKUP(F68,informatieblad!$A$37:$D$41,4,FALSE)</f>
        <v>0</v>
      </c>
      <c r="AD68" s="180">
        <f>(MAX(K66,L66))</f>
        <v>0</v>
      </c>
      <c r="AE68" s="119">
        <f>(MAX(M66,N66))</f>
        <v>0</v>
      </c>
      <c r="AF68" s="119">
        <f>(MAX(K66,M66))</f>
        <v>0</v>
      </c>
      <c r="AG68" s="119">
        <f>(MAX(B66:C66))</f>
        <v>0</v>
      </c>
      <c r="AH68" s="119">
        <f>LOOKUP(AG68,informatieblad!$C$27:$C$32,informatieblad!$A$27:$A$32)</f>
        <v>0.5</v>
      </c>
      <c r="AI68" s="118">
        <f>VLOOKUP(AH68,informatieblad!$A$27:$M$32,6,FALSE)</f>
        <v>0</v>
      </c>
      <c r="AJ68" s="118">
        <f>VLOOKUP(AH68,informatieblad!$A$27:$M$32,8,FALSE)</f>
        <v>45.1248</v>
      </c>
      <c r="AK68" s="120">
        <f>VLOOKUP(AH68,informatieblad!$A$27:$M$32,13,FALSE)</f>
        <v>4</v>
      </c>
      <c r="AL68" s="121">
        <f>ROUND((AK68*W68),1)</f>
        <v>0</v>
      </c>
      <c r="AO68" s="111">
        <f>(IF(B67=AO66,((2*B66)+(2*C66)),IF(B67=AO67,((2*B66)+(2*C66)),0)))*C68</f>
        <v>0</v>
      </c>
      <c r="AP68" s="111">
        <f>(IF(B67=AP66,((2*B66)+(2*C66)),IF(B67=AP67,((2*B66)+(2*C66)),0)))*C68</f>
        <v>0</v>
      </c>
      <c r="AQ68" s="261">
        <f>(IF(B67=AQ66,((2*B66)+(2*C66)),IF(B67=AQ67,((2*B66)+(2*C66)),0)))*C68</f>
        <v>0</v>
      </c>
      <c r="AR68" s="283">
        <f>(IF(B67=AR66,((2*B66)+(2*C66)),0))*C68</f>
        <v>0</v>
      </c>
      <c r="AS68" s="64"/>
      <c r="AT68" s="268"/>
      <c r="AU68" s="64"/>
      <c r="AV68" s="268">
        <f>(AG68+100)*C68</f>
        <v>0</v>
      </c>
      <c r="AW68" s="64"/>
      <c r="AX68" s="111" t="str">
        <f>IF(B67=informatieblad!$A$6,informatieblad!$B$6,IF(B67=informatieblad!$A$7,informatieblad!$B$7,IF(B67=informatieblad!$A$8,informatieblad!$B$8,IF(B67=informatieblad!$A$2,informatieblad!$B$2,IF(B67=informatieblad!$A$3,informatieblad!$B$3,IF(B67=informatieblad!$A$4,informatieblad!$B$4,IF(B67=informatieblad!$A$5,informatieblad!$B$5,"")))))))</f>
        <v/>
      </c>
      <c r="AY68" s="276">
        <f>IF(AX68=AY66,(4*C68),0)</f>
        <v>0</v>
      </c>
      <c r="AZ68" s="274">
        <f>IF(AX68=AZ66,(4*C68),0)</f>
        <v>0</v>
      </c>
    </row>
    <row r="69" spans="1:52" ht="5.0999999999999996" customHeight="1" thickBot="1">
      <c r="A69" s="231"/>
      <c r="B69" s="232"/>
      <c r="C69" s="232"/>
      <c r="D69" s="232"/>
      <c r="E69" s="232"/>
      <c r="F69" s="232"/>
      <c r="G69" s="232"/>
      <c r="H69" s="232"/>
      <c r="I69" s="233"/>
      <c r="J69" s="64"/>
    </row>
    <row r="70" spans="1:52" ht="15.75" thickBot="1">
      <c r="A70" s="494"/>
      <c r="B70" s="234"/>
      <c r="C70" s="234"/>
      <c r="D70" s="220">
        <f>(B70&gt;0)*$I$8</f>
        <v>0</v>
      </c>
      <c r="E70" s="221"/>
      <c r="F70" s="221"/>
      <c r="G70" s="221"/>
      <c r="H70" s="221"/>
      <c r="I70" s="222"/>
      <c r="J70" s="345" t="s">
        <v>20</v>
      </c>
      <c r="T70" s="97" t="s">
        <v>14</v>
      </c>
      <c r="U70" s="98" t="s">
        <v>27</v>
      </c>
      <c r="V70" s="98" t="s">
        <v>28</v>
      </c>
      <c r="W70" s="98" t="s">
        <v>27</v>
      </c>
      <c r="X70" s="98" t="s">
        <v>28</v>
      </c>
      <c r="Y70" s="98" t="s">
        <v>29</v>
      </c>
      <c r="Z70" s="66" t="s">
        <v>30</v>
      </c>
      <c r="AA70" s="153" t="s">
        <v>31</v>
      </c>
      <c r="AB70" s="153"/>
      <c r="AC70" s="153"/>
      <c r="AD70" s="154" t="s">
        <v>83</v>
      </c>
      <c r="AE70" s="100" t="s">
        <v>83</v>
      </c>
      <c r="AF70" s="100" t="s">
        <v>83</v>
      </c>
      <c r="AG70" s="100" t="s">
        <v>33</v>
      </c>
      <c r="AH70" s="100" t="s">
        <v>34</v>
      </c>
      <c r="AI70" s="98" t="s">
        <v>32</v>
      </c>
      <c r="AJ70" s="98" t="s">
        <v>32</v>
      </c>
      <c r="AK70" s="98" t="s">
        <v>49</v>
      </c>
      <c r="AL70" s="101" t="s">
        <v>36</v>
      </c>
      <c r="AO70" s="97" t="str">
        <f>informatieblad!$A$6</f>
        <v>FL20</v>
      </c>
      <c r="AP70" s="97" t="str">
        <f>informatieblad!$A$7</f>
        <v>FL30</v>
      </c>
      <c r="AQ70" s="99" t="str">
        <f>informatieblad!$A$8</f>
        <v>FL40</v>
      </c>
      <c r="AR70" s="266" t="str">
        <f>informatieblad!$A$5</f>
        <v>none</v>
      </c>
      <c r="AS70" s="64"/>
      <c r="AT70" s="266"/>
      <c r="AU70" s="64"/>
      <c r="AV70" s="266" t="s">
        <v>37</v>
      </c>
      <c r="AW70" s="64"/>
      <c r="AX70" s="269" t="s">
        <v>38</v>
      </c>
      <c r="AY70" s="272">
        <f>informatieblad!$B$3</f>
        <v>0</v>
      </c>
      <c r="AZ70" s="264">
        <f>informatieblad!$B$4</f>
        <v>0</v>
      </c>
    </row>
    <row r="71" spans="1:52">
      <c r="A71" s="475"/>
      <c r="B71" s="502" t="str">
        <f>IF($C72&gt;0,IF(MAX(B70,C70)&lt;informatieblad!$Q$4,informatieblad!$P$3,IF(MAX(B70,C70)&gt;informatieblad!$R$4,informatieblad!$P$5,informatieblad!$P$4)),"")</f>
        <v/>
      </c>
      <c r="C71" s="503"/>
      <c r="D71" s="223"/>
      <c r="E71" s="223"/>
      <c r="F71" s="224" t="str">
        <f>A70&amp;"-"&amp;informatieblad!$B$19&amp;"-"&amp;B70&amp;"-"&amp;C70&amp;"-"&amp;D70&amp;"-"&amp;B71&amp;"-"&amp;F72</f>
        <v>-RctS---0--Options None</v>
      </c>
      <c r="G71" s="235"/>
      <c r="H71" s="235"/>
      <c r="I71" s="236"/>
      <c r="J71" s="83"/>
      <c r="T71" s="103">
        <f>A70</f>
        <v>0</v>
      </c>
      <c r="U71" s="104" t="s">
        <v>39</v>
      </c>
      <c r="V71" s="104" t="s">
        <v>39</v>
      </c>
      <c r="W71" s="104" t="s">
        <v>40</v>
      </c>
      <c r="X71" s="104" t="s">
        <v>40</v>
      </c>
      <c r="Y71" s="104" t="s">
        <v>40</v>
      </c>
      <c r="Z71" s="105"/>
      <c r="AA71" s="155" t="s">
        <v>27</v>
      </c>
      <c r="AB71" s="155" t="s">
        <v>40</v>
      </c>
      <c r="AC71" s="155" t="s">
        <v>41</v>
      </c>
      <c r="AD71" s="156" t="s">
        <v>107</v>
      </c>
      <c r="AE71" s="104" t="s">
        <v>108</v>
      </c>
      <c r="AF71" s="107" t="s">
        <v>91</v>
      </c>
      <c r="AG71" s="107" t="s">
        <v>44</v>
      </c>
      <c r="AH71" s="107"/>
      <c r="AI71" s="104" t="s">
        <v>40</v>
      </c>
      <c r="AJ71" s="104" t="s">
        <v>41</v>
      </c>
      <c r="AK71" s="108"/>
      <c r="AL71" s="109"/>
      <c r="AO71" s="262" t="str">
        <f>informatieblad!$A$2</f>
        <v>FL20 loose</v>
      </c>
      <c r="AP71" s="262" t="str">
        <f>informatieblad!$A$3</f>
        <v>FL30 loose</v>
      </c>
      <c r="AQ71" s="263" t="str">
        <f>informatieblad!$A$4</f>
        <v>FL40 loose</v>
      </c>
      <c r="AR71" s="282"/>
      <c r="AS71" s="64"/>
      <c r="AT71" s="267"/>
      <c r="AU71" s="64"/>
      <c r="AV71" s="267"/>
      <c r="AW71" s="64"/>
      <c r="AX71" s="265" t="s">
        <v>47</v>
      </c>
      <c r="AY71" s="83" t="s">
        <v>23</v>
      </c>
      <c r="AZ71" s="273" t="s">
        <v>23</v>
      </c>
    </row>
    <row r="72" spans="1:52" ht="15.75" thickBot="1">
      <c r="A72" s="495"/>
      <c r="B72" s="227" t="s">
        <v>23</v>
      </c>
      <c r="C72" s="237"/>
      <c r="D72" s="229">
        <f>C72*V72</f>
        <v>0</v>
      </c>
      <c r="E72" s="230" t="s">
        <v>24</v>
      </c>
      <c r="F72" s="498" t="s">
        <v>25</v>
      </c>
      <c r="G72" s="452"/>
      <c r="H72" s="452"/>
      <c r="I72" s="453"/>
      <c r="J72" s="176"/>
      <c r="T72" s="111"/>
      <c r="U72" s="112">
        <f>(((2*(B70+C70))*(D70+25)))/1000000</f>
        <v>0</v>
      </c>
      <c r="V72" s="112">
        <f>((IF(U72&lt;=informatieblad!$I$19,informatieblad!$I$19,IF(U72&gt;=informatieblad!$I$19,U72))))</f>
        <v>0.5</v>
      </c>
      <c r="W72" s="112">
        <f>(((2*(B70+C70))*(D70+25)))/1000000</f>
        <v>0</v>
      </c>
      <c r="X72" s="112">
        <f>((IF(W72&lt;=informatieblad!$H$19,informatieblad!$H$19,IF(W72&gt;=informatieblad!$H$19,W72))))</f>
        <v>0</v>
      </c>
      <c r="Y72" s="113">
        <f>((X72*AI72)+(X72*AB72))*C72</f>
        <v>0</v>
      </c>
      <c r="Z72" s="114">
        <f>((V72*AJ72)+(V72*AC72))*C72</f>
        <v>0</v>
      </c>
      <c r="AA72" s="115" t="str">
        <f>F72</f>
        <v>Options None</v>
      </c>
      <c r="AB72" s="115">
        <f>VLOOKUP(F72,informatieblad!$A$37:$D$41,2,FALSE)</f>
        <v>0</v>
      </c>
      <c r="AC72" s="115">
        <f>VLOOKUP(F72,informatieblad!$A$37:$D$41,4,FALSE)</f>
        <v>0</v>
      </c>
      <c r="AD72" s="180">
        <f>(MAX(K70,L70))</f>
        <v>0</v>
      </c>
      <c r="AE72" s="119">
        <f>(MAX(M70,N70))</f>
        <v>0</v>
      </c>
      <c r="AF72" s="119">
        <f>(MAX(K70,M70))</f>
        <v>0</v>
      </c>
      <c r="AG72" s="119">
        <f>(MAX(B70:C70))</f>
        <v>0</v>
      </c>
      <c r="AH72" s="119">
        <f>LOOKUP(AG72,informatieblad!$C$27:$C$32,informatieblad!$A$27:$A$32)</f>
        <v>0.5</v>
      </c>
      <c r="AI72" s="118">
        <f>VLOOKUP(AH72,informatieblad!$A$27:$M$32,6,FALSE)</f>
        <v>0</v>
      </c>
      <c r="AJ72" s="118">
        <f>VLOOKUP(AH72,informatieblad!$A$27:$M$32,8,FALSE)</f>
        <v>45.1248</v>
      </c>
      <c r="AK72" s="120">
        <f>VLOOKUP(AH72,informatieblad!$A$27:$M$32,13,FALSE)</f>
        <v>4</v>
      </c>
      <c r="AL72" s="121">
        <f>ROUND((AK72*W72),1)</f>
        <v>0</v>
      </c>
      <c r="AO72" s="111">
        <f>(IF(B71=AO70,((2*B70)+(2*C70)),IF(B71=AO71,((2*B70)+(2*C70)),0)))*C72</f>
        <v>0</v>
      </c>
      <c r="AP72" s="111">
        <f>(IF(B71=AP70,((2*B70)+(2*C70)),IF(B71=AP71,((2*B70)+(2*C70)),0)))*C72</f>
        <v>0</v>
      </c>
      <c r="AQ72" s="261">
        <f>(IF(B71=AQ70,((2*B70)+(2*C70)),IF(B71=AQ71,((2*B70)+(2*C70)),0)))*C72</f>
        <v>0</v>
      </c>
      <c r="AR72" s="283">
        <f>(IF(B71=AR70,((2*B70)+(2*C70)),0))*C72</f>
        <v>0</v>
      </c>
      <c r="AS72" s="64"/>
      <c r="AT72" s="268"/>
      <c r="AU72" s="64"/>
      <c r="AV72" s="268">
        <f>(AG72+100)*C72</f>
        <v>0</v>
      </c>
      <c r="AW72" s="64"/>
      <c r="AX72" s="111" t="str">
        <f>IF(B71=informatieblad!$A$6,informatieblad!$B$6,IF(B71=informatieblad!$A$7,informatieblad!$B$7,IF(B71=informatieblad!$A$8,informatieblad!$B$8,IF(B71=informatieblad!$A$2,informatieblad!$B$2,IF(B71=informatieblad!$A$3,informatieblad!$B$3,IF(B71=informatieblad!$A$4,informatieblad!$B$4,IF(B71=informatieblad!$A$5,informatieblad!$B$5,"")))))))</f>
        <v/>
      </c>
      <c r="AY72" s="276">
        <f>IF(AX72=AY70,(4*C72),0)</f>
        <v>0</v>
      </c>
      <c r="AZ72" s="274">
        <f>IF(AX72=AZ70,(4*C72),0)</f>
        <v>0</v>
      </c>
    </row>
    <row r="73" spans="1:52" ht="5.0999999999999996" customHeight="1" thickBot="1">
      <c r="A73" s="231"/>
      <c r="B73" s="232"/>
      <c r="C73" s="232"/>
      <c r="D73" s="232"/>
      <c r="E73" s="232"/>
      <c r="F73" s="232"/>
      <c r="G73" s="232"/>
      <c r="H73" s="232"/>
      <c r="I73" s="233"/>
      <c r="J73" s="64"/>
    </row>
    <row r="74" spans="1:52" ht="15.75" thickBot="1">
      <c r="A74" s="494"/>
      <c r="B74" s="234"/>
      <c r="C74" s="234"/>
      <c r="D74" s="220">
        <f>(B74&gt;0)*$I$8</f>
        <v>0</v>
      </c>
      <c r="E74" s="221"/>
      <c r="F74" s="221"/>
      <c r="G74" s="221"/>
      <c r="H74" s="221"/>
      <c r="I74" s="222"/>
      <c r="J74" s="345" t="s">
        <v>20</v>
      </c>
      <c r="T74" s="97" t="s">
        <v>14</v>
      </c>
      <c r="U74" s="98" t="s">
        <v>27</v>
      </c>
      <c r="V74" s="98" t="s">
        <v>28</v>
      </c>
      <c r="W74" s="98" t="s">
        <v>27</v>
      </c>
      <c r="X74" s="98" t="s">
        <v>28</v>
      </c>
      <c r="Y74" s="98" t="s">
        <v>29</v>
      </c>
      <c r="Z74" s="66" t="s">
        <v>30</v>
      </c>
      <c r="AA74" s="153" t="s">
        <v>31</v>
      </c>
      <c r="AB74" s="153"/>
      <c r="AC74" s="153"/>
      <c r="AD74" s="154" t="s">
        <v>83</v>
      </c>
      <c r="AE74" s="100" t="s">
        <v>83</v>
      </c>
      <c r="AF74" s="100" t="s">
        <v>83</v>
      </c>
      <c r="AG74" s="100" t="s">
        <v>33</v>
      </c>
      <c r="AH74" s="100" t="s">
        <v>34</v>
      </c>
      <c r="AI74" s="98" t="s">
        <v>32</v>
      </c>
      <c r="AJ74" s="98" t="s">
        <v>32</v>
      </c>
      <c r="AK74" s="98" t="s">
        <v>49</v>
      </c>
      <c r="AL74" s="101" t="s">
        <v>36</v>
      </c>
      <c r="AO74" s="97" t="str">
        <f>informatieblad!$A$6</f>
        <v>FL20</v>
      </c>
      <c r="AP74" s="97" t="str">
        <f>informatieblad!$A$7</f>
        <v>FL30</v>
      </c>
      <c r="AQ74" s="99" t="str">
        <f>informatieblad!$A$8</f>
        <v>FL40</v>
      </c>
      <c r="AR74" s="266" t="str">
        <f>informatieblad!$A$5</f>
        <v>none</v>
      </c>
      <c r="AS74" s="64"/>
      <c r="AT74" s="266"/>
      <c r="AU74" s="64"/>
      <c r="AV74" s="266" t="s">
        <v>37</v>
      </c>
      <c r="AW74" s="64"/>
      <c r="AX74" s="269" t="s">
        <v>38</v>
      </c>
      <c r="AY74" s="272">
        <f>informatieblad!$B$3</f>
        <v>0</v>
      </c>
      <c r="AZ74" s="264">
        <f>informatieblad!$B$4</f>
        <v>0</v>
      </c>
    </row>
    <row r="75" spans="1:52">
      <c r="A75" s="475"/>
      <c r="B75" s="502" t="str">
        <f>IF($C76&gt;0,IF(MAX(B74,C74)&lt;informatieblad!$Q$4,informatieblad!$P$3,IF(MAX(B74,C74)&gt;informatieblad!$R$4,informatieblad!$P$5,informatieblad!$P$4)),"")</f>
        <v/>
      </c>
      <c r="C75" s="503"/>
      <c r="D75" s="223"/>
      <c r="E75" s="223"/>
      <c r="F75" s="224" t="str">
        <f>A74&amp;"-"&amp;informatieblad!$B$19&amp;"-"&amp;B74&amp;"-"&amp;C74&amp;"-"&amp;D74&amp;"-"&amp;B75&amp;"-"&amp;F76</f>
        <v>-RctS---0--Options None</v>
      </c>
      <c r="G75" s="235"/>
      <c r="H75" s="235"/>
      <c r="I75" s="236"/>
      <c r="J75" s="83"/>
      <c r="T75" s="103">
        <f>A74</f>
        <v>0</v>
      </c>
      <c r="U75" s="104" t="s">
        <v>39</v>
      </c>
      <c r="V75" s="104" t="s">
        <v>39</v>
      </c>
      <c r="W75" s="104" t="s">
        <v>40</v>
      </c>
      <c r="X75" s="104" t="s">
        <v>40</v>
      </c>
      <c r="Y75" s="104" t="s">
        <v>40</v>
      </c>
      <c r="Z75" s="105"/>
      <c r="AA75" s="155" t="s">
        <v>27</v>
      </c>
      <c r="AB75" s="155" t="s">
        <v>40</v>
      </c>
      <c r="AC75" s="155" t="s">
        <v>41</v>
      </c>
      <c r="AD75" s="156" t="s">
        <v>107</v>
      </c>
      <c r="AE75" s="104" t="s">
        <v>108</v>
      </c>
      <c r="AF75" s="107" t="s">
        <v>91</v>
      </c>
      <c r="AG75" s="107" t="s">
        <v>44</v>
      </c>
      <c r="AH75" s="107"/>
      <c r="AI75" s="104" t="s">
        <v>40</v>
      </c>
      <c r="AJ75" s="104" t="s">
        <v>41</v>
      </c>
      <c r="AK75" s="108"/>
      <c r="AL75" s="109"/>
      <c r="AO75" s="262" t="str">
        <f>informatieblad!$A$2</f>
        <v>FL20 loose</v>
      </c>
      <c r="AP75" s="262" t="str">
        <f>informatieblad!$A$3</f>
        <v>FL30 loose</v>
      </c>
      <c r="AQ75" s="263" t="str">
        <f>informatieblad!$A$4</f>
        <v>FL40 loose</v>
      </c>
      <c r="AR75" s="282"/>
      <c r="AS75" s="64"/>
      <c r="AT75" s="267"/>
      <c r="AU75" s="64"/>
      <c r="AV75" s="267"/>
      <c r="AW75" s="64"/>
      <c r="AX75" s="265" t="s">
        <v>47</v>
      </c>
      <c r="AY75" s="83" t="s">
        <v>23</v>
      </c>
      <c r="AZ75" s="273" t="s">
        <v>23</v>
      </c>
    </row>
    <row r="76" spans="1:52" ht="15.75" thickBot="1">
      <c r="A76" s="495"/>
      <c r="B76" s="227" t="s">
        <v>23</v>
      </c>
      <c r="C76" s="237"/>
      <c r="D76" s="229">
        <f>C76*V76</f>
        <v>0</v>
      </c>
      <c r="E76" s="230" t="s">
        <v>24</v>
      </c>
      <c r="F76" s="498" t="s">
        <v>25</v>
      </c>
      <c r="G76" s="452"/>
      <c r="H76" s="452"/>
      <c r="I76" s="453"/>
      <c r="J76" s="176"/>
      <c r="T76" s="111"/>
      <c r="U76" s="112">
        <f>(((2*(B74+C74))*(D74+25)))/1000000</f>
        <v>0</v>
      </c>
      <c r="V76" s="112">
        <f>((IF(U76&lt;=informatieblad!$I$19,informatieblad!$I$19,IF(U76&gt;=informatieblad!$I$19,U76))))</f>
        <v>0.5</v>
      </c>
      <c r="W76" s="112">
        <f>(((2*(B74+C74))*(D74+25)))/1000000</f>
        <v>0</v>
      </c>
      <c r="X76" s="112">
        <f>((IF(W76&lt;=informatieblad!$H$19,informatieblad!$H$19,IF(W76&gt;=informatieblad!$H$19,W76))))</f>
        <v>0</v>
      </c>
      <c r="Y76" s="113">
        <f>((X76*AI76)+(X76*AB76))*C76</f>
        <v>0</v>
      </c>
      <c r="Z76" s="114">
        <f>((V76*AJ76)+(V76*AC76))*C76</f>
        <v>0</v>
      </c>
      <c r="AA76" s="115" t="str">
        <f>F76</f>
        <v>Options None</v>
      </c>
      <c r="AB76" s="115">
        <f>VLOOKUP(F76,informatieblad!$A$37:$D$41,2,FALSE)</f>
        <v>0</v>
      </c>
      <c r="AC76" s="115">
        <f>VLOOKUP(F76,informatieblad!$A$37:$D$41,4,FALSE)</f>
        <v>0</v>
      </c>
      <c r="AD76" s="180">
        <f>(MAX(K74,L74))</f>
        <v>0</v>
      </c>
      <c r="AE76" s="119">
        <f>(MAX(M74,N74))</f>
        <v>0</v>
      </c>
      <c r="AF76" s="119">
        <f>(MAX(K74,M74))</f>
        <v>0</v>
      </c>
      <c r="AG76" s="119">
        <f>(MAX(B74:C74))</f>
        <v>0</v>
      </c>
      <c r="AH76" s="119">
        <f>LOOKUP(AG76,informatieblad!$C$27:$C$32,informatieblad!$A$27:$A$32)</f>
        <v>0.5</v>
      </c>
      <c r="AI76" s="118">
        <f>VLOOKUP(AH76,informatieblad!$A$27:$M$32,6,FALSE)</f>
        <v>0</v>
      </c>
      <c r="AJ76" s="118">
        <f>VLOOKUP(AH76,informatieblad!$A$27:$M$32,8,FALSE)</f>
        <v>45.1248</v>
      </c>
      <c r="AK76" s="120">
        <f>VLOOKUP(AH76,informatieblad!$A$27:$M$32,13,FALSE)</f>
        <v>4</v>
      </c>
      <c r="AL76" s="121">
        <f>ROUND((AK76*W76),1)</f>
        <v>0</v>
      </c>
      <c r="AO76" s="111">
        <f>(IF(B75=AO74,((2*B74)+(2*C74)),IF(B75=AO75,((2*B74)+(2*C74)),0)))*C76</f>
        <v>0</v>
      </c>
      <c r="AP76" s="111">
        <f>(IF(B75=AP74,((2*B74)+(2*C74)),IF(B75=AP75,((2*B74)+(2*C74)),0)))*C76</f>
        <v>0</v>
      </c>
      <c r="AQ76" s="261">
        <f>(IF(B75=AQ74,((2*B74)+(2*C74)),IF(B75=AQ75,((2*B74)+(2*C74)),0)))*C76</f>
        <v>0</v>
      </c>
      <c r="AR76" s="283">
        <f>(IF(B75=AR74,((2*B74)+(2*C74)),0))*C76</f>
        <v>0</v>
      </c>
      <c r="AS76" s="64"/>
      <c r="AT76" s="268"/>
      <c r="AU76" s="64"/>
      <c r="AV76" s="268">
        <f>(AG76+100)*C76</f>
        <v>0</v>
      </c>
      <c r="AW76" s="64"/>
      <c r="AX76" s="111" t="str">
        <f>IF(B75=informatieblad!$A$6,informatieblad!$B$6,IF(B75=informatieblad!$A$7,informatieblad!$B$7,IF(B75=informatieblad!$A$8,informatieblad!$B$8,IF(B75=informatieblad!$A$2,informatieblad!$B$2,IF(B75=informatieblad!$A$3,informatieblad!$B$3,IF(B75=informatieblad!$A$4,informatieblad!$B$4,IF(B75=informatieblad!$A$5,informatieblad!$B$5,"")))))))</f>
        <v/>
      </c>
      <c r="AY76" s="276">
        <f>IF(AX76=AY74,(4*C76),0)</f>
        <v>0</v>
      </c>
      <c r="AZ76" s="274">
        <f>IF(AX76=AZ74,(4*C76),0)</f>
        <v>0</v>
      </c>
    </row>
    <row r="77" spans="1:52" ht="5.0999999999999996" customHeight="1" thickBot="1">
      <c r="A77" s="231"/>
      <c r="B77" s="232"/>
      <c r="C77" s="232"/>
      <c r="D77" s="232"/>
      <c r="E77" s="232"/>
      <c r="F77" s="232"/>
      <c r="G77" s="232"/>
      <c r="H77" s="232"/>
      <c r="I77" s="233"/>
      <c r="J77" s="64"/>
    </row>
    <row r="78" spans="1:52" ht="15.75" thickBot="1">
      <c r="A78" s="494"/>
      <c r="B78" s="234"/>
      <c r="C78" s="234"/>
      <c r="D78" s="220">
        <f>(B78&gt;0)*$I$8</f>
        <v>0</v>
      </c>
      <c r="E78" s="221"/>
      <c r="F78" s="221"/>
      <c r="G78" s="221"/>
      <c r="H78" s="221"/>
      <c r="I78" s="222"/>
      <c r="J78" s="345" t="s">
        <v>20</v>
      </c>
      <c r="T78" s="97" t="s">
        <v>14</v>
      </c>
      <c r="U78" s="98" t="s">
        <v>27</v>
      </c>
      <c r="V78" s="98" t="s">
        <v>28</v>
      </c>
      <c r="W78" s="98" t="s">
        <v>27</v>
      </c>
      <c r="X78" s="98" t="s">
        <v>28</v>
      </c>
      <c r="Y78" s="98" t="s">
        <v>29</v>
      </c>
      <c r="Z78" s="66" t="s">
        <v>30</v>
      </c>
      <c r="AA78" s="153" t="s">
        <v>31</v>
      </c>
      <c r="AB78" s="153"/>
      <c r="AC78" s="153"/>
      <c r="AD78" s="154" t="s">
        <v>83</v>
      </c>
      <c r="AE78" s="100" t="s">
        <v>83</v>
      </c>
      <c r="AF78" s="100" t="s">
        <v>83</v>
      </c>
      <c r="AG78" s="100" t="s">
        <v>33</v>
      </c>
      <c r="AH78" s="100" t="s">
        <v>34</v>
      </c>
      <c r="AI78" s="98" t="s">
        <v>32</v>
      </c>
      <c r="AJ78" s="98" t="s">
        <v>32</v>
      </c>
      <c r="AK78" s="98" t="s">
        <v>49</v>
      </c>
      <c r="AL78" s="101" t="s">
        <v>36</v>
      </c>
      <c r="AO78" s="97" t="str">
        <f>informatieblad!$A$6</f>
        <v>FL20</v>
      </c>
      <c r="AP78" s="97" t="str">
        <f>informatieblad!$A$7</f>
        <v>FL30</v>
      </c>
      <c r="AQ78" s="99" t="str">
        <f>informatieblad!$A$8</f>
        <v>FL40</v>
      </c>
      <c r="AR78" s="266" t="str">
        <f>informatieblad!$A$5</f>
        <v>none</v>
      </c>
      <c r="AS78" s="64"/>
      <c r="AT78" s="266"/>
      <c r="AU78" s="64"/>
      <c r="AV78" s="266" t="s">
        <v>37</v>
      </c>
      <c r="AW78" s="64"/>
      <c r="AX78" s="269" t="s">
        <v>38</v>
      </c>
      <c r="AY78" s="272">
        <f>informatieblad!$B$3</f>
        <v>0</v>
      </c>
      <c r="AZ78" s="264">
        <f>informatieblad!$B$4</f>
        <v>0</v>
      </c>
    </row>
    <row r="79" spans="1:52">
      <c r="A79" s="475"/>
      <c r="B79" s="502" t="str">
        <f>IF($C80&gt;0,IF(MAX(B78,C78)&lt;informatieblad!$Q$4,informatieblad!$P$3,IF(MAX(B78,C78)&gt;informatieblad!$R$4,informatieblad!$P$5,informatieblad!$P$4)),"")</f>
        <v/>
      </c>
      <c r="C79" s="503"/>
      <c r="D79" s="223"/>
      <c r="E79" s="223"/>
      <c r="F79" s="224" t="str">
        <f>A78&amp;"-"&amp;informatieblad!$B$19&amp;"-"&amp;B78&amp;"-"&amp;C78&amp;"-"&amp;D78&amp;"-"&amp;B79&amp;"-"&amp;F80</f>
        <v>-RctS---0--Options None</v>
      </c>
      <c r="G79" s="235"/>
      <c r="H79" s="235"/>
      <c r="I79" s="236"/>
      <c r="J79" s="83"/>
      <c r="T79" s="103">
        <f>A78</f>
        <v>0</v>
      </c>
      <c r="U79" s="104" t="s">
        <v>39</v>
      </c>
      <c r="V79" s="104" t="s">
        <v>39</v>
      </c>
      <c r="W79" s="104" t="s">
        <v>40</v>
      </c>
      <c r="X79" s="104" t="s">
        <v>40</v>
      </c>
      <c r="Y79" s="104" t="s">
        <v>40</v>
      </c>
      <c r="Z79" s="105"/>
      <c r="AA79" s="155" t="s">
        <v>27</v>
      </c>
      <c r="AB79" s="155" t="s">
        <v>40</v>
      </c>
      <c r="AC79" s="155" t="s">
        <v>41</v>
      </c>
      <c r="AD79" s="156" t="s">
        <v>107</v>
      </c>
      <c r="AE79" s="104" t="s">
        <v>108</v>
      </c>
      <c r="AF79" s="107" t="s">
        <v>91</v>
      </c>
      <c r="AG79" s="107" t="s">
        <v>44</v>
      </c>
      <c r="AH79" s="107"/>
      <c r="AI79" s="104" t="s">
        <v>40</v>
      </c>
      <c r="AJ79" s="104" t="s">
        <v>41</v>
      </c>
      <c r="AK79" s="108"/>
      <c r="AL79" s="109"/>
      <c r="AO79" s="262" t="str">
        <f>informatieblad!$A$2</f>
        <v>FL20 loose</v>
      </c>
      <c r="AP79" s="262" t="str">
        <f>informatieblad!$A$3</f>
        <v>FL30 loose</v>
      </c>
      <c r="AQ79" s="263" t="str">
        <f>informatieblad!$A$4</f>
        <v>FL40 loose</v>
      </c>
      <c r="AR79" s="282"/>
      <c r="AS79" s="64"/>
      <c r="AT79" s="267"/>
      <c r="AU79" s="64"/>
      <c r="AV79" s="267"/>
      <c r="AW79" s="64"/>
      <c r="AX79" s="265" t="s">
        <v>47</v>
      </c>
      <c r="AY79" s="83" t="s">
        <v>23</v>
      </c>
      <c r="AZ79" s="273" t="s">
        <v>23</v>
      </c>
    </row>
    <row r="80" spans="1:52" ht="15.75" thickBot="1">
      <c r="A80" s="495"/>
      <c r="B80" s="227" t="s">
        <v>23</v>
      </c>
      <c r="C80" s="237"/>
      <c r="D80" s="229">
        <f>C80*V80</f>
        <v>0</v>
      </c>
      <c r="E80" s="230" t="s">
        <v>24</v>
      </c>
      <c r="F80" s="498" t="s">
        <v>25</v>
      </c>
      <c r="G80" s="452"/>
      <c r="H80" s="452"/>
      <c r="I80" s="453"/>
      <c r="J80" s="176"/>
      <c r="T80" s="111"/>
      <c r="U80" s="112">
        <f>(((2*(B78+C78))*(D78+25)))/1000000</f>
        <v>0</v>
      </c>
      <c r="V80" s="112">
        <f>((IF(U80&lt;=informatieblad!$I$19,informatieblad!$I$19,IF(U80&gt;=informatieblad!$I$19,U80))))</f>
        <v>0.5</v>
      </c>
      <c r="W80" s="112">
        <f>(((2*(B78+C78))*(D78+25)))/1000000</f>
        <v>0</v>
      </c>
      <c r="X80" s="112">
        <f>((IF(W80&lt;=informatieblad!$H$19,informatieblad!$H$19,IF(W80&gt;=informatieblad!$H$19,W80))))</f>
        <v>0</v>
      </c>
      <c r="Y80" s="113">
        <f>((X80*AI80)+(X80*AB80))*C80</f>
        <v>0</v>
      </c>
      <c r="Z80" s="114">
        <f>((V80*AJ80)+(V80*AC80))*C80</f>
        <v>0</v>
      </c>
      <c r="AA80" s="115" t="str">
        <f>F80</f>
        <v>Options None</v>
      </c>
      <c r="AB80" s="115">
        <f>VLOOKUP(F80,informatieblad!$A$37:$D$41,2,FALSE)</f>
        <v>0</v>
      </c>
      <c r="AC80" s="115">
        <f>VLOOKUP(F80,informatieblad!$A$37:$D$41,4,FALSE)</f>
        <v>0</v>
      </c>
      <c r="AD80" s="180">
        <f>(MAX(K78,L78))</f>
        <v>0</v>
      </c>
      <c r="AE80" s="119">
        <f>(MAX(M78,N78))</f>
        <v>0</v>
      </c>
      <c r="AF80" s="119">
        <f>(MAX(K78,M78))</f>
        <v>0</v>
      </c>
      <c r="AG80" s="119">
        <f>(MAX(B78:C78))</f>
        <v>0</v>
      </c>
      <c r="AH80" s="119">
        <f>LOOKUP(AG80,informatieblad!$C$27:$C$32,informatieblad!$A$27:$A$32)</f>
        <v>0.5</v>
      </c>
      <c r="AI80" s="118">
        <f>VLOOKUP(AH80,informatieblad!$A$27:$M$32,6,FALSE)</f>
        <v>0</v>
      </c>
      <c r="AJ80" s="118">
        <f>VLOOKUP(AH80,informatieblad!$A$27:$M$32,8,FALSE)</f>
        <v>45.1248</v>
      </c>
      <c r="AK80" s="120">
        <f>VLOOKUP(AH80,informatieblad!$A$27:$M$32,13,FALSE)</f>
        <v>4</v>
      </c>
      <c r="AL80" s="121">
        <f>ROUND((AK80*W80),1)</f>
        <v>0</v>
      </c>
      <c r="AO80" s="111">
        <f>(IF(B79=AO78,((2*B78)+(2*C78)),IF(B79=AO79,((2*B78)+(2*C78)),0)))*C80</f>
        <v>0</v>
      </c>
      <c r="AP80" s="111">
        <f>(IF(B79=AP78,((2*B78)+(2*C78)),IF(B79=AP79,((2*B78)+(2*C78)),0)))*C80</f>
        <v>0</v>
      </c>
      <c r="AQ80" s="261">
        <f>(IF(B79=AQ78,((2*B78)+(2*C78)),IF(B79=AQ79,((2*B78)+(2*C78)),0)))*C80</f>
        <v>0</v>
      </c>
      <c r="AR80" s="283">
        <f>(IF(B79=AR78,((2*B78)+(2*C78)),0))*C80</f>
        <v>0</v>
      </c>
      <c r="AS80" s="64"/>
      <c r="AT80" s="268"/>
      <c r="AU80" s="64"/>
      <c r="AV80" s="268">
        <f>(AG80+100)*C80</f>
        <v>0</v>
      </c>
      <c r="AW80" s="64"/>
      <c r="AX80" s="111" t="str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/>
      </c>
      <c r="AY80" s="276">
        <f>IF(AX80=AY78,(4*C80),0)</f>
        <v>0</v>
      </c>
      <c r="AZ80" s="274">
        <f>IF(AX80=AZ78,(4*C80),0)</f>
        <v>0</v>
      </c>
    </row>
    <row r="81" spans="1:52" ht="5.0999999999999996" customHeight="1" thickBot="1">
      <c r="A81" s="231"/>
      <c r="B81" s="232"/>
      <c r="C81" s="232"/>
      <c r="D81" s="232"/>
      <c r="E81" s="232"/>
      <c r="F81" s="232"/>
      <c r="G81" s="232"/>
      <c r="H81" s="232"/>
      <c r="I81" s="233"/>
      <c r="J81" s="64"/>
    </row>
    <row r="82" spans="1:52" ht="15.75" thickBot="1">
      <c r="A82" s="494"/>
      <c r="B82" s="234"/>
      <c r="C82" s="234"/>
      <c r="D82" s="220">
        <f>(B82&gt;0)*$I$8</f>
        <v>0</v>
      </c>
      <c r="E82" s="221"/>
      <c r="F82" s="221"/>
      <c r="G82" s="221"/>
      <c r="H82" s="221"/>
      <c r="I82" s="222"/>
      <c r="J82" s="345" t="s">
        <v>20</v>
      </c>
      <c r="T82" s="97" t="s">
        <v>14</v>
      </c>
      <c r="U82" s="98" t="s">
        <v>27</v>
      </c>
      <c r="V82" s="98" t="s">
        <v>28</v>
      </c>
      <c r="W82" s="98" t="s">
        <v>27</v>
      </c>
      <c r="X82" s="98" t="s">
        <v>28</v>
      </c>
      <c r="Y82" s="98" t="s">
        <v>29</v>
      </c>
      <c r="Z82" s="66" t="s">
        <v>30</v>
      </c>
      <c r="AA82" s="153" t="s">
        <v>31</v>
      </c>
      <c r="AB82" s="153"/>
      <c r="AC82" s="153"/>
      <c r="AD82" s="154" t="s">
        <v>83</v>
      </c>
      <c r="AE82" s="100" t="s">
        <v>83</v>
      </c>
      <c r="AF82" s="100" t="s">
        <v>83</v>
      </c>
      <c r="AG82" s="100" t="s">
        <v>33</v>
      </c>
      <c r="AH82" s="100" t="s">
        <v>34</v>
      </c>
      <c r="AI82" s="98" t="s">
        <v>32</v>
      </c>
      <c r="AJ82" s="98" t="s">
        <v>32</v>
      </c>
      <c r="AK82" s="98" t="s">
        <v>49</v>
      </c>
      <c r="AL82" s="101" t="s">
        <v>36</v>
      </c>
      <c r="AO82" s="97" t="str">
        <f>informatieblad!$A$6</f>
        <v>FL20</v>
      </c>
      <c r="AP82" s="97" t="str">
        <f>informatieblad!$A$7</f>
        <v>FL30</v>
      </c>
      <c r="AQ82" s="99" t="str">
        <f>informatieblad!$A$8</f>
        <v>FL40</v>
      </c>
      <c r="AR82" s="266" t="str">
        <f>informatieblad!$A$5</f>
        <v>none</v>
      </c>
      <c r="AS82" s="64"/>
      <c r="AT82" s="266"/>
      <c r="AU82" s="64"/>
      <c r="AV82" s="266" t="s">
        <v>37</v>
      </c>
      <c r="AW82" s="64"/>
      <c r="AX82" s="269" t="s">
        <v>38</v>
      </c>
      <c r="AY82" s="272">
        <f>informatieblad!$B$3</f>
        <v>0</v>
      </c>
      <c r="AZ82" s="264">
        <f>informatieblad!$B$4</f>
        <v>0</v>
      </c>
    </row>
    <row r="83" spans="1:52">
      <c r="A83" s="475"/>
      <c r="B83" s="502" t="str">
        <f>IF($C84&gt;0,IF(MAX(B82,C82)&lt;informatieblad!$Q$4,informatieblad!$P$3,IF(MAX(B82,C82)&gt;informatieblad!$R$4,informatieblad!$P$5,informatieblad!$P$4)),"")</f>
        <v/>
      </c>
      <c r="C83" s="503"/>
      <c r="D83" s="223"/>
      <c r="E83" s="223"/>
      <c r="F83" s="224" t="str">
        <f>A82&amp;"-"&amp;informatieblad!$B$19&amp;"-"&amp;B82&amp;"-"&amp;C82&amp;"-"&amp;D82&amp;"-"&amp;B83&amp;"-"&amp;F84</f>
        <v>-RctS---0--Options None</v>
      </c>
      <c r="G83" s="235"/>
      <c r="H83" s="235"/>
      <c r="I83" s="236"/>
      <c r="J83" s="83"/>
      <c r="T83" s="103">
        <f>A82</f>
        <v>0</v>
      </c>
      <c r="U83" s="104" t="s">
        <v>39</v>
      </c>
      <c r="V83" s="104" t="s">
        <v>39</v>
      </c>
      <c r="W83" s="104" t="s">
        <v>40</v>
      </c>
      <c r="X83" s="104" t="s">
        <v>40</v>
      </c>
      <c r="Y83" s="104" t="s">
        <v>40</v>
      </c>
      <c r="Z83" s="105"/>
      <c r="AA83" s="155" t="s">
        <v>27</v>
      </c>
      <c r="AB83" s="155" t="s">
        <v>40</v>
      </c>
      <c r="AC83" s="155" t="s">
        <v>41</v>
      </c>
      <c r="AD83" s="156" t="s">
        <v>107</v>
      </c>
      <c r="AE83" s="104" t="s">
        <v>108</v>
      </c>
      <c r="AF83" s="107" t="s">
        <v>91</v>
      </c>
      <c r="AG83" s="107" t="s">
        <v>44</v>
      </c>
      <c r="AH83" s="107"/>
      <c r="AI83" s="104" t="s">
        <v>40</v>
      </c>
      <c r="AJ83" s="104" t="s">
        <v>41</v>
      </c>
      <c r="AK83" s="108"/>
      <c r="AL83" s="109"/>
      <c r="AO83" s="262" t="str">
        <f>informatieblad!$A$2</f>
        <v>FL20 loose</v>
      </c>
      <c r="AP83" s="262" t="str">
        <f>informatieblad!$A$3</f>
        <v>FL30 loose</v>
      </c>
      <c r="AQ83" s="263" t="str">
        <f>informatieblad!$A$4</f>
        <v>FL40 loose</v>
      </c>
      <c r="AR83" s="282"/>
      <c r="AS83" s="64"/>
      <c r="AT83" s="267"/>
      <c r="AU83" s="64"/>
      <c r="AV83" s="267"/>
      <c r="AW83" s="64"/>
      <c r="AX83" s="265" t="s">
        <v>47</v>
      </c>
      <c r="AY83" s="83" t="s">
        <v>23</v>
      </c>
      <c r="AZ83" s="273" t="s">
        <v>23</v>
      </c>
    </row>
    <row r="84" spans="1:52" ht="15.75" thickBot="1">
      <c r="A84" s="495"/>
      <c r="B84" s="227" t="s">
        <v>23</v>
      </c>
      <c r="C84" s="237"/>
      <c r="D84" s="229">
        <f>C84*V84</f>
        <v>0</v>
      </c>
      <c r="E84" s="230" t="s">
        <v>24</v>
      </c>
      <c r="F84" s="498" t="s">
        <v>25</v>
      </c>
      <c r="G84" s="452"/>
      <c r="H84" s="452"/>
      <c r="I84" s="453"/>
      <c r="J84" s="176"/>
      <c r="T84" s="111"/>
      <c r="U84" s="112">
        <f>(((2*(B82+C82))*(D82+25)))/1000000</f>
        <v>0</v>
      </c>
      <c r="V84" s="112">
        <f>((IF(U84&lt;=informatieblad!$I$19,informatieblad!$I$19,IF(U84&gt;=informatieblad!$I$19,U84))))</f>
        <v>0.5</v>
      </c>
      <c r="W84" s="112">
        <f>(((2*(B82+C82))*(D82+25)))/1000000</f>
        <v>0</v>
      </c>
      <c r="X84" s="112">
        <f>((IF(W84&lt;=informatieblad!$H$19,informatieblad!$H$19,IF(W84&gt;=informatieblad!$H$19,W84))))</f>
        <v>0</v>
      </c>
      <c r="Y84" s="113">
        <f>((X84*AI84)+(X84*AB84))*C84</f>
        <v>0</v>
      </c>
      <c r="Z84" s="114">
        <f>((V84*AJ84)+(V84*AC84))*C84</f>
        <v>0</v>
      </c>
      <c r="AA84" s="115" t="str">
        <f>F84</f>
        <v>Options None</v>
      </c>
      <c r="AB84" s="115">
        <f>VLOOKUP(F84,informatieblad!$A$37:$D$41,2,FALSE)</f>
        <v>0</v>
      </c>
      <c r="AC84" s="115">
        <f>VLOOKUP(F84,informatieblad!$A$37:$D$41,4,FALSE)</f>
        <v>0</v>
      </c>
      <c r="AD84" s="180">
        <f>(MAX(K82,L82))</f>
        <v>0</v>
      </c>
      <c r="AE84" s="119">
        <f>(MAX(M82,N82))</f>
        <v>0</v>
      </c>
      <c r="AF84" s="119">
        <f>(MAX(K82,M82))</f>
        <v>0</v>
      </c>
      <c r="AG84" s="119">
        <f>(MAX(B82:C82))</f>
        <v>0</v>
      </c>
      <c r="AH84" s="119">
        <f>LOOKUP(AG84,informatieblad!$C$27:$C$32,informatieblad!$A$27:$A$32)</f>
        <v>0.5</v>
      </c>
      <c r="AI84" s="118">
        <f>VLOOKUP(AH84,informatieblad!$A$27:$M$32,6,FALSE)</f>
        <v>0</v>
      </c>
      <c r="AJ84" s="118">
        <f>VLOOKUP(AH84,informatieblad!$A$27:$M$32,8,FALSE)</f>
        <v>45.1248</v>
      </c>
      <c r="AK84" s="120">
        <f>VLOOKUP(AH84,informatieblad!$A$27:$M$32,13,FALSE)</f>
        <v>4</v>
      </c>
      <c r="AL84" s="121">
        <f>ROUND((AK84*W84),1)</f>
        <v>0</v>
      </c>
      <c r="AO84" s="111">
        <f>(IF(B83=AO82,((2*B82)+(2*C82)),IF(B83=AO83,((2*B82)+(2*C82)),0)))*C84</f>
        <v>0</v>
      </c>
      <c r="AP84" s="111">
        <f>(IF(B83=AP82,((2*B82)+(2*C82)),IF(B83=AP83,((2*B82)+(2*C82)),0)))*C84</f>
        <v>0</v>
      </c>
      <c r="AQ84" s="261">
        <f>(IF(B83=AQ82,((2*B82)+(2*C82)),IF(B83=AQ83,((2*B82)+(2*C82)),0)))*C84</f>
        <v>0</v>
      </c>
      <c r="AR84" s="283">
        <f>(IF(B83=AR82,((2*B82)+(2*C82)),0))*C84</f>
        <v>0</v>
      </c>
      <c r="AS84" s="64"/>
      <c r="AT84" s="268"/>
      <c r="AU84" s="64"/>
      <c r="AV84" s="268">
        <f>(AG84+100)*C84</f>
        <v>0</v>
      </c>
      <c r="AW84" s="64"/>
      <c r="AX84" s="111" t="str">
        <f>IF(B83=informatieblad!$A$6,informatieblad!$B$6,IF(B83=informatieblad!$A$7,informatieblad!$B$7,IF(B83=informatieblad!$A$8,informatieblad!$B$8,IF(B83=informatieblad!$A$2,informatieblad!$B$2,IF(B83=informatieblad!$A$3,informatieblad!$B$3,IF(B83=informatieblad!$A$4,informatieblad!$B$4,IF(B83=informatieblad!$A$5,informatieblad!$B$5,"")))))))</f>
        <v/>
      </c>
      <c r="AY84" s="276">
        <f>IF(AX84=AY82,(4*C84),0)</f>
        <v>0</v>
      </c>
      <c r="AZ84" s="274">
        <f>IF(AX84=AZ82,(4*C84),0)</f>
        <v>0</v>
      </c>
    </row>
    <row r="85" spans="1:52" ht="5.0999999999999996" customHeight="1" thickBot="1">
      <c r="A85" s="231"/>
      <c r="B85" s="232"/>
      <c r="C85" s="232"/>
      <c r="D85" s="232"/>
      <c r="E85" s="232"/>
      <c r="F85" s="232"/>
      <c r="G85" s="232"/>
      <c r="H85" s="232"/>
      <c r="I85" s="233"/>
      <c r="J85" s="64"/>
    </row>
    <row r="86" spans="1:52" ht="15.75" thickBot="1">
      <c r="A86" s="494"/>
      <c r="B86" s="234"/>
      <c r="C86" s="234"/>
      <c r="D86" s="220">
        <f>(B86&gt;0)*$I$8</f>
        <v>0</v>
      </c>
      <c r="E86" s="221"/>
      <c r="F86" s="221"/>
      <c r="G86" s="221"/>
      <c r="H86" s="221"/>
      <c r="I86" s="222"/>
      <c r="J86" s="345" t="s">
        <v>20</v>
      </c>
      <c r="T86" s="97" t="s">
        <v>14</v>
      </c>
      <c r="U86" s="98" t="s">
        <v>27</v>
      </c>
      <c r="V86" s="98" t="s">
        <v>28</v>
      </c>
      <c r="W86" s="98" t="s">
        <v>27</v>
      </c>
      <c r="X86" s="98" t="s">
        <v>28</v>
      </c>
      <c r="Y86" s="98" t="s">
        <v>29</v>
      </c>
      <c r="Z86" s="66" t="s">
        <v>30</v>
      </c>
      <c r="AA86" s="153" t="s">
        <v>31</v>
      </c>
      <c r="AB86" s="153"/>
      <c r="AC86" s="153"/>
      <c r="AD86" s="154" t="s">
        <v>83</v>
      </c>
      <c r="AE86" s="100" t="s">
        <v>83</v>
      </c>
      <c r="AF86" s="100" t="s">
        <v>83</v>
      </c>
      <c r="AG86" s="100" t="s">
        <v>33</v>
      </c>
      <c r="AH86" s="100" t="s">
        <v>34</v>
      </c>
      <c r="AI86" s="98" t="s">
        <v>32</v>
      </c>
      <c r="AJ86" s="98" t="s">
        <v>32</v>
      </c>
      <c r="AK86" s="98" t="s">
        <v>49</v>
      </c>
      <c r="AL86" s="101" t="s">
        <v>36</v>
      </c>
      <c r="AO86" s="97" t="str">
        <f>informatieblad!$A$6</f>
        <v>FL20</v>
      </c>
      <c r="AP86" s="97" t="str">
        <f>informatieblad!$A$7</f>
        <v>FL30</v>
      </c>
      <c r="AQ86" s="99" t="str">
        <f>informatieblad!$A$8</f>
        <v>FL40</v>
      </c>
      <c r="AR86" s="266" t="str">
        <f>informatieblad!$A$5</f>
        <v>none</v>
      </c>
      <c r="AS86" s="64"/>
      <c r="AT86" s="266"/>
      <c r="AU86" s="64"/>
      <c r="AV86" s="266" t="s">
        <v>37</v>
      </c>
      <c r="AW86" s="64"/>
      <c r="AX86" s="269" t="s">
        <v>38</v>
      </c>
      <c r="AY86" s="272">
        <f>informatieblad!$B$3</f>
        <v>0</v>
      </c>
      <c r="AZ86" s="264">
        <f>informatieblad!$B$4</f>
        <v>0</v>
      </c>
    </row>
    <row r="87" spans="1:52">
      <c r="A87" s="475"/>
      <c r="B87" s="502" t="str">
        <f>IF($C88&gt;0,IF(MAX(B86,C86)&lt;informatieblad!$Q$4,informatieblad!$P$3,IF(MAX(B86,C86)&gt;informatieblad!$R$4,informatieblad!$P$5,informatieblad!$P$4)),"")</f>
        <v/>
      </c>
      <c r="C87" s="503"/>
      <c r="D87" s="223"/>
      <c r="E87" s="223"/>
      <c r="F87" s="224" t="str">
        <f>A86&amp;"-"&amp;informatieblad!$B$19&amp;"-"&amp;B86&amp;"-"&amp;C86&amp;"-"&amp;D86&amp;"-"&amp;B87&amp;"-"&amp;F88</f>
        <v>-RctS---0--Options None</v>
      </c>
      <c r="G87" s="235"/>
      <c r="H87" s="235"/>
      <c r="I87" s="236"/>
      <c r="J87" s="83"/>
      <c r="T87" s="103">
        <f>A86</f>
        <v>0</v>
      </c>
      <c r="U87" s="104" t="s">
        <v>39</v>
      </c>
      <c r="V87" s="104" t="s">
        <v>39</v>
      </c>
      <c r="W87" s="104" t="s">
        <v>40</v>
      </c>
      <c r="X87" s="104" t="s">
        <v>40</v>
      </c>
      <c r="Y87" s="104" t="s">
        <v>40</v>
      </c>
      <c r="Z87" s="105"/>
      <c r="AA87" s="155" t="s">
        <v>27</v>
      </c>
      <c r="AB87" s="155" t="s">
        <v>40</v>
      </c>
      <c r="AC87" s="155" t="s">
        <v>41</v>
      </c>
      <c r="AD87" s="156" t="s">
        <v>107</v>
      </c>
      <c r="AE87" s="104" t="s">
        <v>108</v>
      </c>
      <c r="AF87" s="107" t="s">
        <v>91</v>
      </c>
      <c r="AG87" s="107" t="s">
        <v>44</v>
      </c>
      <c r="AH87" s="107"/>
      <c r="AI87" s="104" t="s">
        <v>40</v>
      </c>
      <c r="AJ87" s="104" t="s">
        <v>41</v>
      </c>
      <c r="AK87" s="108"/>
      <c r="AL87" s="109"/>
      <c r="AO87" s="262" t="str">
        <f>informatieblad!$A$2</f>
        <v>FL20 loose</v>
      </c>
      <c r="AP87" s="262" t="str">
        <f>informatieblad!$A$3</f>
        <v>FL30 loose</v>
      </c>
      <c r="AQ87" s="263" t="str">
        <f>informatieblad!$A$4</f>
        <v>FL40 loose</v>
      </c>
      <c r="AR87" s="282"/>
      <c r="AS87" s="64"/>
      <c r="AT87" s="267"/>
      <c r="AU87" s="64"/>
      <c r="AV87" s="267"/>
      <c r="AW87" s="64"/>
      <c r="AX87" s="265" t="s">
        <v>47</v>
      </c>
      <c r="AY87" s="83" t="s">
        <v>23</v>
      </c>
      <c r="AZ87" s="273" t="s">
        <v>23</v>
      </c>
    </row>
    <row r="88" spans="1:52" ht="15.75" thickBot="1">
      <c r="A88" s="495"/>
      <c r="B88" s="227" t="s">
        <v>23</v>
      </c>
      <c r="C88" s="237"/>
      <c r="D88" s="229">
        <f>C88*V88</f>
        <v>0</v>
      </c>
      <c r="E88" s="230" t="s">
        <v>24</v>
      </c>
      <c r="F88" s="498" t="s">
        <v>25</v>
      </c>
      <c r="G88" s="452"/>
      <c r="H88" s="452"/>
      <c r="I88" s="453"/>
      <c r="J88" s="176"/>
      <c r="T88" s="111"/>
      <c r="U88" s="112">
        <f>(((2*(B86+C86))*(D86+25)))/1000000</f>
        <v>0</v>
      </c>
      <c r="V88" s="112">
        <f>((IF(U88&lt;=informatieblad!$I$19,informatieblad!$I$19,IF(U88&gt;=informatieblad!$I$19,U88))))</f>
        <v>0.5</v>
      </c>
      <c r="W88" s="112">
        <f>(((2*(B86+C86))*(D86+25)))/1000000</f>
        <v>0</v>
      </c>
      <c r="X88" s="112">
        <f>((IF(W88&lt;=informatieblad!$H$19,informatieblad!$H$19,IF(W88&gt;=informatieblad!$H$19,W88))))</f>
        <v>0</v>
      </c>
      <c r="Y88" s="113">
        <f>((X88*AI88)+(X88*AB88))*C88</f>
        <v>0</v>
      </c>
      <c r="Z88" s="114">
        <f>((V88*AJ88)+(V88*AC88))*C88</f>
        <v>0</v>
      </c>
      <c r="AA88" s="115" t="str">
        <f>F88</f>
        <v>Options None</v>
      </c>
      <c r="AB88" s="115">
        <f>VLOOKUP(F88,informatieblad!$A$37:$D$41,2,FALSE)</f>
        <v>0</v>
      </c>
      <c r="AC88" s="115">
        <f>VLOOKUP(F88,informatieblad!$A$37:$D$41,4,FALSE)</f>
        <v>0</v>
      </c>
      <c r="AD88" s="180">
        <f>(MAX(K86,L86))</f>
        <v>0</v>
      </c>
      <c r="AE88" s="119">
        <f>(MAX(M86,N86))</f>
        <v>0</v>
      </c>
      <c r="AF88" s="119">
        <f>(MAX(K86,M86))</f>
        <v>0</v>
      </c>
      <c r="AG88" s="119">
        <f>(MAX(B86:C86))</f>
        <v>0</v>
      </c>
      <c r="AH88" s="119">
        <f>LOOKUP(AG88,informatieblad!$C$27:$C$32,informatieblad!$A$27:$A$32)</f>
        <v>0.5</v>
      </c>
      <c r="AI88" s="118">
        <f>VLOOKUP(AH88,informatieblad!$A$27:$M$32,6,FALSE)</f>
        <v>0</v>
      </c>
      <c r="AJ88" s="118">
        <f>VLOOKUP(AH88,informatieblad!$A$27:$M$32,8,FALSE)</f>
        <v>45.1248</v>
      </c>
      <c r="AK88" s="120">
        <f>VLOOKUP(AH88,informatieblad!$A$27:$M$32,13,FALSE)</f>
        <v>4</v>
      </c>
      <c r="AL88" s="121">
        <f>ROUND((AK88*W88),1)</f>
        <v>0</v>
      </c>
      <c r="AO88" s="111">
        <f>(IF(B87=AO86,((2*B86)+(2*C86)),IF(B87=AO87,((2*B86)+(2*C86)),0)))*C88</f>
        <v>0</v>
      </c>
      <c r="AP88" s="111">
        <f>(IF(B87=AP86,((2*B86)+(2*C86)),IF(B87=AP87,((2*B86)+(2*C86)),0)))*C88</f>
        <v>0</v>
      </c>
      <c r="AQ88" s="261">
        <f>(IF(B87=AQ86,((2*B86)+(2*C86)),IF(B87=AQ87,((2*B86)+(2*C86)),0)))*C88</f>
        <v>0</v>
      </c>
      <c r="AR88" s="283">
        <f>(IF(B87=AR86,((2*B86)+(2*C86)),0))*C88</f>
        <v>0</v>
      </c>
      <c r="AS88" s="64"/>
      <c r="AT88" s="268"/>
      <c r="AU88" s="64"/>
      <c r="AV88" s="268">
        <f>(AG88+100)*C88</f>
        <v>0</v>
      </c>
      <c r="AW88" s="64"/>
      <c r="AX88" s="111" t="str">
        <f>IF(B87=informatieblad!$A$6,informatieblad!$B$6,IF(B87=informatieblad!$A$7,informatieblad!$B$7,IF(B87=informatieblad!$A$8,informatieblad!$B$8,IF(B87=informatieblad!$A$2,informatieblad!$B$2,IF(B87=informatieblad!$A$3,informatieblad!$B$3,IF(B87=informatieblad!$A$4,informatieblad!$B$4,IF(B87=informatieblad!$A$5,informatieblad!$B$5,"")))))))</f>
        <v/>
      </c>
      <c r="AY88" s="276">
        <f>IF(AX88=AY86,(4*C88),0)</f>
        <v>0</v>
      </c>
      <c r="AZ88" s="274">
        <f>IF(AX88=AZ86,(4*C88),0)</f>
        <v>0</v>
      </c>
    </row>
    <row r="89" spans="1:52" ht="5.0999999999999996" customHeight="1" thickBot="1">
      <c r="A89" s="231"/>
      <c r="B89" s="232"/>
      <c r="C89" s="232"/>
      <c r="D89" s="232"/>
      <c r="E89" s="232"/>
      <c r="F89" s="232"/>
      <c r="G89" s="232"/>
      <c r="H89" s="232"/>
      <c r="I89" s="233"/>
      <c r="J89" s="64"/>
    </row>
    <row r="90" spans="1:52" ht="15.75" thickBot="1">
      <c r="A90" s="494"/>
      <c r="B90" s="234"/>
      <c r="C90" s="234"/>
      <c r="D90" s="220">
        <f>(B90&gt;0)*$I$8</f>
        <v>0</v>
      </c>
      <c r="E90" s="221"/>
      <c r="F90" s="221"/>
      <c r="G90" s="221"/>
      <c r="H90" s="221"/>
      <c r="I90" s="222"/>
      <c r="J90" s="345" t="s">
        <v>20</v>
      </c>
      <c r="T90" s="97" t="s">
        <v>14</v>
      </c>
      <c r="U90" s="98" t="s">
        <v>27</v>
      </c>
      <c r="V90" s="98" t="s">
        <v>28</v>
      </c>
      <c r="W90" s="98" t="s">
        <v>27</v>
      </c>
      <c r="X90" s="98" t="s">
        <v>28</v>
      </c>
      <c r="Y90" s="98" t="s">
        <v>29</v>
      </c>
      <c r="Z90" s="66" t="s">
        <v>30</v>
      </c>
      <c r="AA90" s="153" t="s">
        <v>31</v>
      </c>
      <c r="AB90" s="153"/>
      <c r="AC90" s="153"/>
      <c r="AD90" s="154" t="s">
        <v>83</v>
      </c>
      <c r="AE90" s="100" t="s">
        <v>83</v>
      </c>
      <c r="AF90" s="100" t="s">
        <v>83</v>
      </c>
      <c r="AG90" s="100" t="s">
        <v>33</v>
      </c>
      <c r="AH90" s="100" t="s">
        <v>34</v>
      </c>
      <c r="AI90" s="98" t="s">
        <v>32</v>
      </c>
      <c r="AJ90" s="98" t="s">
        <v>32</v>
      </c>
      <c r="AK90" s="98" t="s">
        <v>49</v>
      </c>
      <c r="AL90" s="101" t="s">
        <v>36</v>
      </c>
      <c r="AO90" s="97" t="str">
        <f>informatieblad!$A$6</f>
        <v>FL20</v>
      </c>
      <c r="AP90" s="97" t="str">
        <f>informatieblad!$A$7</f>
        <v>FL30</v>
      </c>
      <c r="AQ90" s="99" t="str">
        <f>informatieblad!$A$8</f>
        <v>FL40</v>
      </c>
      <c r="AR90" s="266" t="str">
        <f>informatieblad!$A$5</f>
        <v>none</v>
      </c>
      <c r="AS90" s="64"/>
      <c r="AT90" s="266"/>
      <c r="AU90" s="64"/>
      <c r="AV90" s="266" t="s">
        <v>37</v>
      </c>
      <c r="AW90" s="64"/>
      <c r="AX90" s="269" t="s">
        <v>38</v>
      </c>
      <c r="AY90" s="272">
        <f>informatieblad!$B$3</f>
        <v>0</v>
      </c>
      <c r="AZ90" s="264">
        <f>informatieblad!$B$4</f>
        <v>0</v>
      </c>
    </row>
    <row r="91" spans="1:52">
      <c r="A91" s="475"/>
      <c r="B91" s="502" t="str">
        <f>IF($C92&gt;0,IF(MAX(B90,C90)&lt;informatieblad!$Q$4,informatieblad!$P$3,IF(MAX(B90,C90)&gt;informatieblad!$R$4,informatieblad!$P$5,informatieblad!$P$4)),"")</f>
        <v/>
      </c>
      <c r="C91" s="503"/>
      <c r="D91" s="223"/>
      <c r="E91" s="223"/>
      <c r="F91" s="224" t="str">
        <f>A90&amp;"-"&amp;informatieblad!$B$19&amp;"-"&amp;B90&amp;"-"&amp;C90&amp;"-"&amp;D90&amp;"-"&amp;B91&amp;"-"&amp;F92</f>
        <v>-RctS---0--Options None</v>
      </c>
      <c r="G91" s="235"/>
      <c r="H91" s="235"/>
      <c r="I91" s="236"/>
      <c r="J91" s="83"/>
      <c r="T91" s="103">
        <f>A90</f>
        <v>0</v>
      </c>
      <c r="U91" s="104" t="s">
        <v>39</v>
      </c>
      <c r="V91" s="104" t="s">
        <v>39</v>
      </c>
      <c r="W91" s="104" t="s">
        <v>40</v>
      </c>
      <c r="X91" s="104" t="s">
        <v>40</v>
      </c>
      <c r="Y91" s="104" t="s">
        <v>40</v>
      </c>
      <c r="Z91" s="105"/>
      <c r="AA91" s="155" t="s">
        <v>27</v>
      </c>
      <c r="AB91" s="155" t="s">
        <v>40</v>
      </c>
      <c r="AC91" s="155" t="s">
        <v>41</v>
      </c>
      <c r="AD91" s="156" t="s">
        <v>107</v>
      </c>
      <c r="AE91" s="104" t="s">
        <v>108</v>
      </c>
      <c r="AF91" s="107" t="s">
        <v>91</v>
      </c>
      <c r="AG91" s="107" t="s">
        <v>44</v>
      </c>
      <c r="AH91" s="107"/>
      <c r="AI91" s="104" t="s">
        <v>40</v>
      </c>
      <c r="AJ91" s="104" t="s">
        <v>41</v>
      </c>
      <c r="AK91" s="108"/>
      <c r="AL91" s="109"/>
      <c r="AO91" s="262" t="str">
        <f>informatieblad!$A$2</f>
        <v>FL20 loose</v>
      </c>
      <c r="AP91" s="262" t="str">
        <f>informatieblad!$A$3</f>
        <v>FL30 loose</v>
      </c>
      <c r="AQ91" s="263" t="str">
        <f>informatieblad!$A$4</f>
        <v>FL40 loose</v>
      </c>
      <c r="AR91" s="282"/>
      <c r="AS91" s="64"/>
      <c r="AT91" s="267"/>
      <c r="AU91" s="64"/>
      <c r="AV91" s="267"/>
      <c r="AW91" s="64"/>
      <c r="AX91" s="265" t="s">
        <v>47</v>
      </c>
      <c r="AY91" s="83" t="s">
        <v>23</v>
      </c>
      <c r="AZ91" s="273" t="s">
        <v>23</v>
      </c>
    </row>
    <row r="92" spans="1:52" ht="15.75" thickBot="1">
      <c r="A92" s="495"/>
      <c r="B92" s="227" t="s">
        <v>23</v>
      </c>
      <c r="C92" s="237"/>
      <c r="D92" s="229">
        <f>C92*V92</f>
        <v>0</v>
      </c>
      <c r="E92" s="230" t="s">
        <v>24</v>
      </c>
      <c r="F92" s="498" t="s">
        <v>25</v>
      </c>
      <c r="G92" s="452"/>
      <c r="H92" s="452"/>
      <c r="I92" s="453"/>
      <c r="J92" s="176"/>
      <c r="T92" s="111"/>
      <c r="U92" s="112">
        <f>(((2*(B90+C90))*(D90+25)))/1000000</f>
        <v>0</v>
      </c>
      <c r="V92" s="112">
        <f>((IF(U92&lt;=informatieblad!$I$19,informatieblad!$I$19,IF(U92&gt;=informatieblad!$I$19,U92))))</f>
        <v>0.5</v>
      </c>
      <c r="W92" s="112">
        <f>(((2*(B90+C90))*(D90+25)))/1000000</f>
        <v>0</v>
      </c>
      <c r="X92" s="112">
        <f>((IF(W92&lt;=informatieblad!$H$19,informatieblad!$H$19,IF(W92&gt;=informatieblad!$H$19,W92))))</f>
        <v>0</v>
      </c>
      <c r="Y92" s="113">
        <f>((X92*AI92)+(X92*AB92))*C92</f>
        <v>0</v>
      </c>
      <c r="Z92" s="114">
        <f>((V92*AJ92)+(V92*AC92))*C92</f>
        <v>0</v>
      </c>
      <c r="AA92" s="115" t="str">
        <f>F92</f>
        <v>Options None</v>
      </c>
      <c r="AB92" s="115">
        <f>VLOOKUP(F92,informatieblad!$A$37:$D$41,2,FALSE)</f>
        <v>0</v>
      </c>
      <c r="AC92" s="115">
        <f>VLOOKUP(F92,informatieblad!$A$37:$D$41,4,FALSE)</f>
        <v>0</v>
      </c>
      <c r="AD92" s="180">
        <f>(MAX(K90,L90))</f>
        <v>0</v>
      </c>
      <c r="AE92" s="119">
        <f>(MAX(M90,N90))</f>
        <v>0</v>
      </c>
      <c r="AF92" s="119">
        <f>(MAX(K90,M90))</f>
        <v>0</v>
      </c>
      <c r="AG92" s="119">
        <f>(MAX(B90:C90))</f>
        <v>0</v>
      </c>
      <c r="AH92" s="119">
        <f>LOOKUP(AG92,informatieblad!$C$27:$C$32,informatieblad!$A$27:$A$32)</f>
        <v>0.5</v>
      </c>
      <c r="AI92" s="118">
        <f>VLOOKUP(AH92,informatieblad!$A$27:$M$32,6,FALSE)</f>
        <v>0</v>
      </c>
      <c r="AJ92" s="118">
        <f>VLOOKUP(AH92,informatieblad!$A$27:$M$32,8,FALSE)</f>
        <v>45.1248</v>
      </c>
      <c r="AK92" s="120">
        <f>VLOOKUP(AH92,informatieblad!$A$27:$M$32,13,FALSE)</f>
        <v>4</v>
      </c>
      <c r="AL92" s="121">
        <f>ROUND((AK92*W92),1)</f>
        <v>0</v>
      </c>
      <c r="AO92" s="111">
        <f>(IF(B91=AO90,((2*B90)+(2*C90)),IF(B91=AO91,((2*B90)+(2*C90)),0)))*C92</f>
        <v>0</v>
      </c>
      <c r="AP92" s="111">
        <f>(IF(B91=AP90,((2*B90)+(2*C90)),IF(B91=AP91,((2*B90)+(2*C90)),0)))*C92</f>
        <v>0</v>
      </c>
      <c r="AQ92" s="261">
        <f>(IF(B91=AQ90,((2*B90)+(2*C90)),IF(B91=AQ91,((2*B90)+(2*C90)),0)))*C92</f>
        <v>0</v>
      </c>
      <c r="AR92" s="283">
        <f>(IF(B91=AR90,((2*B90)+(2*C90)),0))*C92</f>
        <v>0</v>
      </c>
      <c r="AS92" s="64"/>
      <c r="AT92" s="268"/>
      <c r="AU92" s="64"/>
      <c r="AV92" s="268">
        <f>(AG92+100)*C92</f>
        <v>0</v>
      </c>
      <c r="AW92" s="64"/>
      <c r="AX92" s="111" t="str">
        <f>IF(B91=informatieblad!$A$6,informatieblad!$B$6,IF(B91=informatieblad!$A$7,informatieblad!$B$7,IF(B91=informatieblad!$A$8,informatieblad!$B$8,IF(B91=informatieblad!$A$2,informatieblad!$B$2,IF(B91=informatieblad!$A$3,informatieblad!$B$3,IF(B91=informatieblad!$A$4,informatieblad!$B$4,IF(B91=informatieblad!$A$5,informatieblad!$B$5,"")))))))</f>
        <v/>
      </c>
      <c r="AY92" s="276">
        <f>IF(AX92=AY90,(4*C92),0)</f>
        <v>0</v>
      </c>
      <c r="AZ92" s="274">
        <f>IF(AX92=AZ90,(4*C92),0)</f>
        <v>0</v>
      </c>
    </row>
    <row r="93" spans="1:52" ht="5.0999999999999996" customHeight="1" thickBot="1">
      <c r="A93" s="231"/>
      <c r="B93" s="232"/>
      <c r="C93" s="232"/>
      <c r="D93" s="232"/>
      <c r="E93" s="232"/>
      <c r="F93" s="232"/>
      <c r="G93" s="232"/>
      <c r="H93" s="232"/>
      <c r="I93" s="233"/>
      <c r="J93" s="64"/>
    </row>
    <row r="94" spans="1:52" ht="15.75" thickBot="1">
      <c r="A94" s="494"/>
      <c r="B94" s="234"/>
      <c r="C94" s="234"/>
      <c r="D94" s="220">
        <f>(B94&gt;0)*$I$8</f>
        <v>0</v>
      </c>
      <c r="E94" s="221"/>
      <c r="F94" s="221"/>
      <c r="G94" s="221"/>
      <c r="H94" s="221"/>
      <c r="I94" s="222"/>
      <c r="J94" s="345" t="s">
        <v>20</v>
      </c>
      <c r="T94" s="97" t="s">
        <v>14</v>
      </c>
      <c r="U94" s="98" t="s">
        <v>27</v>
      </c>
      <c r="V94" s="98" t="s">
        <v>28</v>
      </c>
      <c r="W94" s="98" t="s">
        <v>27</v>
      </c>
      <c r="X94" s="98" t="s">
        <v>28</v>
      </c>
      <c r="Y94" s="98" t="s">
        <v>29</v>
      </c>
      <c r="Z94" s="66" t="s">
        <v>30</v>
      </c>
      <c r="AA94" s="153" t="s">
        <v>31</v>
      </c>
      <c r="AB94" s="153"/>
      <c r="AC94" s="153"/>
      <c r="AD94" s="154" t="s">
        <v>83</v>
      </c>
      <c r="AE94" s="100" t="s">
        <v>83</v>
      </c>
      <c r="AF94" s="100" t="s">
        <v>83</v>
      </c>
      <c r="AG94" s="100" t="s">
        <v>33</v>
      </c>
      <c r="AH94" s="100" t="s">
        <v>34</v>
      </c>
      <c r="AI94" s="98" t="s">
        <v>32</v>
      </c>
      <c r="AJ94" s="98" t="s">
        <v>32</v>
      </c>
      <c r="AK94" s="98" t="s">
        <v>49</v>
      </c>
      <c r="AL94" s="101" t="s">
        <v>36</v>
      </c>
      <c r="AO94" s="97" t="str">
        <f>informatieblad!$A$6</f>
        <v>FL20</v>
      </c>
      <c r="AP94" s="97" t="str">
        <f>informatieblad!$A$7</f>
        <v>FL30</v>
      </c>
      <c r="AQ94" s="99" t="str">
        <f>informatieblad!$A$8</f>
        <v>FL40</v>
      </c>
      <c r="AR94" s="266" t="str">
        <f>informatieblad!$A$5</f>
        <v>none</v>
      </c>
      <c r="AS94" s="64"/>
      <c r="AT94" s="266"/>
      <c r="AU94" s="64"/>
      <c r="AV94" s="266" t="s">
        <v>37</v>
      </c>
      <c r="AW94" s="64"/>
      <c r="AX94" s="269" t="s">
        <v>38</v>
      </c>
      <c r="AY94" s="272">
        <f>informatieblad!$B$3</f>
        <v>0</v>
      </c>
      <c r="AZ94" s="264">
        <f>informatieblad!$B$4</f>
        <v>0</v>
      </c>
    </row>
    <row r="95" spans="1:52">
      <c r="A95" s="475"/>
      <c r="B95" s="502" t="str">
        <f>IF($C96&gt;0,IF(MAX(B94,C94)&lt;informatieblad!$Q$4,informatieblad!$P$3,IF(MAX(B94,C94)&gt;informatieblad!$R$4,informatieblad!$P$5,informatieblad!$P$4)),"")</f>
        <v/>
      </c>
      <c r="C95" s="503"/>
      <c r="D95" s="223"/>
      <c r="E95" s="223"/>
      <c r="F95" s="224" t="str">
        <f>A94&amp;"-"&amp;informatieblad!$B$19&amp;"-"&amp;B94&amp;"-"&amp;C94&amp;"-"&amp;D94&amp;"-"&amp;B95&amp;"-"&amp;F96</f>
        <v>-RctS---0--Options None</v>
      </c>
      <c r="G95" s="235"/>
      <c r="H95" s="235"/>
      <c r="I95" s="236"/>
      <c r="J95" s="83"/>
      <c r="T95" s="103">
        <f>A94</f>
        <v>0</v>
      </c>
      <c r="U95" s="104" t="s">
        <v>39</v>
      </c>
      <c r="V95" s="104" t="s">
        <v>39</v>
      </c>
      <c r="W95" s="104" t="s">
        <v>40</v>
      </c>
      <c r="X95" s="104" t="s">
        <v>40</v>
      </c>
      <c r="Y95" s="104" t="s">
        <v>40</v>
      </c>
      <c r="Z95" s="105"/>
      <c r="AA95" s="155" t="s">
        <v>27</v>
      </c>
      <c r="AB95" s="155" t="s">
        <v>40</v>
      </c>
      <c r="AC95" s="155" t="s">
        <v>41</v>
      </c>
      <c r="AD95" s="156" t="s">
        <v>107</v>
      </c>
      <c r="AE95" s="104" t="s">
        <v>108</v>
      </c>
      <c r="AF95" s="107" t="s">
        <v>91</v>
      </c>
      <c r="AG95" s="107" t="s">
        <v>44</v>
      </c>
      <c r="AH95" s="107"/>
      <c r="AI95" s="104" t="s">
        <v>40</v>
      </c>
      <c r="AJ95" s="104" t="s">
        <v>41</v>
      </c>
      <c r="AK95" s="108"/>
      <c r="AL95" s="109"/>
      <c r="AO95" s="262" t="str">
        <f>informatieblad!$A$2</f>
        <v>FL20 loose</v>
      </c>
      <c r="AP95" s="262" t="str">
        <f>informatieblad!$A$3</f>
        <v>FL30 loose</v>
      </c>
      <c r="AQ95" s="263" t="str">
        <f>informatieblad!$A$4</f>
        <v>FL40 loose</v>
      </c>
      <c r="AR95" s="282"/>
      <c r="AS95" s="64"/>
      <c r="AT95" s="267"/>
      <c r="AU95" s="64"/>
      <c r="AV95" s="267"/>
      <c r="AW95" s="64"/>
      <c r="AX95" s="265" t="s">
        <v>47</v>
      </c>
      <c r="AY95" s="83" t="s">
        <v>23</v>
      </c>
      <c r="AZ95" s="273" t="s">
        <v>23</v>
      </c>
    </row>
    <row r="96" spans="1:52" ht="15.75" thickBot="1">
      <c r="A96" s="495"/>
      <c r="B96" s="227" t="s">
        <v>23</v>
      </c>
      <c r="C96" s="237"/>
      <c r="D96" s="229">
        <f>C96*V96</f>
        <v>0</v>
      </c>
      <c r="E96" s="230" t="s">
        <v>24</v>
      </c>
      <c r="F96" s="498" t="s">
        <v>25</v>
      </c>
      <c r="G96" s="452"/>
      <c r="H96" s="452"/>
      <c r="I96" s="453"/>
      <c r="J96" s="176"/>
      <c r="T96" s="111"/>
      <c r="U96" s="112">
        <f>(((2*(B94+C94))*(D94+25)))/1000000</f>
        <v>0</v>
      </c>
      <c r="V96" s="112">
        <f>((IF(U96&lt;=informatieblad!$I$19,informatieblad!$I$19,IF(U96&gt;=informatieblad!$I$19,U96))))</f>
        <v>0.5</v>
      </c>
      <c r="W96" s="112">
        <f>(((2*(B94+C94))*(D94+25)))/1000000</f>
        <v>0</v>
      </c>
      <c r="X96" s="112">
        <f>((IF(W96&lt;=informatieblad!$H$19,informatieblad!$H$19,IF(W96&gt;=informatieblad!$H$19,W96))))</f>
        <v>0</v>
      </c>
      <c r="Y96" s="113">
        <f>((X96*AI96)+(X96*AB96))*C96</f>
        <v>0</v>
      </c>
      <c r="Z96" s="114">
        <f>((V96*AJ96)+(V96*AC96))*C96</f>
        <v>0</v>
      </c>
      <c r="AA96" s="115" t="str">
        <f>F96</f>
        <v>Options None</v>
      </c>
      <c r="AB96" s="115">
        <f>VLOOKUP(F96,informatieblad!$A$37:$D$41,2,FALSE)</f>
        <v>0</v>
      </c>
      <c r="AC96" s="115">
        <f>VLOOKUP(F96,informatieblad!$A$37:$D$41,4,FALSE)</f>
        <v>0</v>
      </c>
      <c r="AD96" s="180">
        <f>(MAX(K94,L94))</f>
        <v>0</v>
      </c>
      <c r="AE96" s="119">
        <f>(MAX(M94,N94))</f>
        <v>0</v>
      </c>
      <c r="AF96" s="119">
        <f>(MAX(K94,M94))</f>
        <v>0</v>
      </c>
      <c r="AG96" s="119">
        <f>(MAX(B94:C94))</f>
        <v>0</v>
      </c>
      <c r="AH96" s="119">
        <f>LOOKUP(AG96,informatieblad!$C$27:$C$32,informatieblad!$A$27:$A$32)</f>
        <v>0.5</v>
      </c>
      <c r="AI96" s="118">
        <f>VLOOKUP(AH96,informatieblad!$A$27:$M$32,6,FALSE)</f>
        <v>0</v>
      </c>
      <c r="AJ96" s="118">
        <f>VLOOKUP(AH96,informatieblad!$A$27:$M$32,8,FALSE)</f>
        <v>45.1248</v>
      </c>
      <c r="AK96" s="120">
        <f>VLOOKUP(AH96,informatieblad!$A$27:$M$32,13,FALSE)</f>
        <v>4</v>
      </c>
      <c r="AL96" s="121">
        <f>ROUND((AK96*W96),1)</f>
        <v>0</v>
      </c>
      <c r="AO96" s="111">
        <f>(IF(B95=AO94,((2*B94)+(2*C94)),IF(B95=AO95,((2*B94)+(2*C94)),0)))*C96</f>
        <v>0</v>
      </c>
      <c r="AP96" s="111">
        <f>(IF(B95=AP94,((2*B94)+(2*C94)),IF(B95=AP95,((2*B94)+(2*C94)),0)))*C96</f>
        <v>0</v>
      </c>
      <c r="AQ96" s="261">
        <f>(IF(B95=AQ94,((2*B94)+(2*C94)),IF(B95=AQ95,((2*B94)+(2*C94)),0)))*C96</f>
        <v>0</v>
      </c>
      <c r="AR96" s="283">
        <f>(IF(B95=AR94,((2*B94)+(2*C94)),0))*C96</f>
        <v>0</v>
      </c>
      <c r="AS96" s="64"/>
      <c r="AT96" s="268"/>
      <c r="AU96" s="64"/>
      <c r="AV96" s="268">
        <f>(AG96+100)*C96</f>
        <v>0</v>
      </c>
      <c r="AW96" s="64"/>
      <c r="AX96" s="111" t="str">
        <f>IF(B95=informatieblad!$A$6,informatieblad!$B$6,IF(B95=informatieblad!$A$7,informatieblad!$B$7,IF(B95=informatieblad!$A$8,informatieblad!$B$8,IF(B95=informatieblad!$A$2,informatieblad!$B$2,IF(B95=informatieblad!$A$3,informatieblad!$B$3,IF(B95=informatieblad!$A$4,informatieblad!$B$4,IF(B95=informatieblad!$A$5,informatieblad!$B$5,"")))))))</f>
        <v/>
      </c>
      <c r="AY96" s="276">
        <f>IF(AX96=AY94,(4*C96),0)</f>
        <v>0</v>
      </c>
      <c r="AZ96" s="274">
        <f>IF(AX96=AZ94,(4*C96),0)</f>
        <v>0</v>
      </c>
    </row>
    <row r="97" spans="1:52" ht="5.0999999999999996" customHeight="1" thickBot="1">
      <c r="A97" s="231"/>
      <c r="B97" s="232"/>
      <c r="C97" s="232"/>
      <c r="D97" s="232"/>
      <c r="E97" s="232"/>
      <c r="F97" s="232"/>
      <c r="G97" s="232"/>
      <c r="H97" s="232"/>
      <c r="I97" s="233"/>
      <c r="J97" s="64"/>
    </row>
    <row r="98" spans="1:52" ht="15.75" thickBot="1">
      <c r="A98" s="494"/>
      <c r="B98" s="234"/>
      <c r="C98" s="234"/>
      <c r="D98" s="220">
        <f>(B98&gt;0)*$I$8</f>
        <v>0</v>
      </c>
      <c r="E98" s="221"/>
      <c r="F98" s="221"/>
      <c r="G98" s="221"/>
      <c r="H98" s="221"/>
      <c r="I98" s="222"/>
      <c r="J98" s="345" t="s">
        <v>20</v>
      </c>
      <c r="T98" s="97" t="s">
        <v>14</v>
      </c>
      <c r="U98" s="98" t="s">
        <v>27</v>
      </c>
      <c r="V98" s="98" t="s">
        <v>28</v>
      </c>
      <c r="W98" s="98" t="s">
        <v>27</v>
      </c>
      <c r="X98" s="98" t="s">
        <v>28</v>
      </c>
      <c r="Y98" s="98" t="s">
        <v>29</v>
      </c>
      <c r="Z98" s="66" t="s">
        <v>30</v>
      </c>
      <c r="AA98" s="153" t="s">
        <v>31</v>
      </c>
      <c r="AB98" s="153"/>
      <c r="AC98" s="153"/>
      <c r="AD98" s="154" t="s">
        <v>83</v>
      </c>
      <c r="AE98" s="100" t="s">
        <v>83</v>
      </c>
      <c r="AF98" s="100" t="s">
        <v>83</v>
      </c>
      <c r="AG98" s="100" t="s">
        <v>33</v>
      </c>
      <c r="AH98" s="100" t="s">
        <v>34</v>
      </c>
      <c r="AI98" s="98" t="s">
        <v>32</v>
      </c>
      <c r="AJ98" s="98" t="s">
        <v>32</v>
      </c>
      <c r="AK98" s="98" t="s">
        <v>49</v>
      </c>
      <c r="AL98" s="101" t="s">
        <v>36</v>
      </c>
      <c r="AO98" s="97" t="str">
        <f>informatieblad!$A$6</f>
        <v>FL20</v>
      </c>
      <c r="AP98" s="97" t="str">
        <f>informatieblad!$A$7</f>
        <v>FL30</v>
      </c>
      <c r="AQ98" s="99" t="str">
        <f>informatieblad!$A$8</f>
        <v>FL40</v>
      </c>
      <c r="AR98" s="266" t="str">
        <f>informatieblad!$A$5</f>
        <v>none</v>
      </c>
      <c r="AS98" s="64"/>
      <c r="AT98" s="266"/>
      <c r="AU98" s="64"/>
      <c r="AV98" s="266" t="s">
        <v>37</v>
      </c>
      <c r="AW98" s="64"/>
      <c r="AX98" s="269" t="s">
        <v>38</v>
      </c>
      <c r="AY98" s="272">
        <f>informatieblad!$B$3</f>
        <v>0</v>
      </c>
      <c r="AZ98" s="264">
        <f>informatieblad!$B$4</f>
        <v>0</v>
      </c>
    </row>
    <row r="99" spans="1:52">
      <c r="A99" s="475"/>
      <c r="B99" s="502" t="str">
        <f>IF($C100&gt;0,IF(MAX(B98,C98)&lt;informatieblad!$Q$4,informatieblad!$P$3,IF(MAX(B98,C98)&gt;informatieblad!$R$4,informatieblad!$P$5,informatieblad!$P$4)),"")</f>
        <v/>
      </c>
      <c r="C99" s="503"/>
      <c r="D99" s="223"/>
      <c r="E99" s="223"/>
      <c r="F99" s="224" t="str">
        <f>A98&amp;"-"&amp;informatieblad!$B$19&amp;"-"&amp;B98&amp;"-"&amp;C98&amp;"-"&amp;D98&amp;"-"&amp;B99&amp;"-"&amp;F100</f>
        <v>-RctS---0--Options None</v>
      </c>
      <c r="G99" s="235"/>
      <c r="H99" s="235"/>
      <c r="I99" s="236"/>
      <c r="J99" s="83"/>
      <c r="T99" s="103">
        <f>A98</f>
        <v>0</v>
      </c>
      <c r="U99" s="104" t="s">
        <v>39</v>
      </c>
      <c r="V99" s="104" t="s">
        <v>39</v>
      </c>
      <c r="W99" s="104" t="s">
        <v>40</v>
      </c>
      <c r="X99" s="104" t="s">
        <v>40</v>
      </c>
      <c r="Y99" s="104" t="s">
        <v>40</v>
      </c>
      <c r="Z99" s="105"/>
      <c r="AA99" s="155" t="s">
        <v>27</v>
      </c>
      <c r="AB99" s="155" t="s">
        <v>40</v>
      </c>
      <c r="AC99" s="155" t="s">
        <v>41</v>
      </c>
      <c r="AD99" s="156" t="s">
        <v>107</v>
      </c>
      <c r="AE99" s="104" t="s">
        <v>108</v>
      </c>
      <c r="AF99" s="107" t="s">
        <v>91</v>
      </c>
      <c r="AG99" s="107" t="s">
        <v>44</v>
      </c>
      <c r="AH99" s="107"/>
      <c r="AI99" s="104" t="s">
        <v>40</v>
      </c>
      <c r="AJ99" s="104" t="s">
        <v>41</v>
      </c>
      <c r="AK99" s="108"/>
      <c r="AL99" s="109"/>
      <c r="AO99" s="262" t="str">
        <f>informatieblad!$A$2</f>
        <v>FL20 loose</v>
      </c>
      <c r="AP99" s="262" t="str">
        <f>informatieblad!$A$3</f>
        <v>FL30 loose</v>
      </c>
      <c r="AQ99" s="263" t="str">
        <f>informatieblad!$A$4</f>
        <v>FL40 loose</v>
      </c>
      <c r="AR99" s="282"/>
      <c r="AS99" s="64"/>
      <c r="AT99" s="267"/>
      <c r="AU99" s="64"/>
      <c r="AV99" s="267"/>
      <c r="AW99" s="64"/>
      <c r="AX99" s="265" t="s">
        <v>47</v>
      </c>
      <c r="AY99" s="83" t="s">
        <v>23</v>
      </c>
      <c r="AZ99" s="273" t="s">
        <v>23</v>
      </c>
    </row>
    <row r="100" spans="1:52" ht="15.75" thickBot="1">
      <c r="A100" s="495"/>
      <c r="B100" s="227" t="s">
        <v>23</v>
      </c>
      <c r="C100" s="237"/>
      <c r="D100" s="229">
        <f>C100*V100</f>
        <v>0</v>
      </c>
      <c r="E100" s="230" t="s">
        <v>24</v>
      </c>
      <c r="F100" s="498" t="s">
        <v>25</v>
      </c>
      <c r="G100" s="452"/>
      <c r="H100" s="452"/>
      <c r="I100" s="453"/>
      <c r="J100" s="176"/>
      <c r="T100" s="111"/>
      <c r="U100" s="112">
        <f>(((2*(B98+C98))*(D98+25)))/1000000</f>
        <v>0</v>
      </c>
      <c r="V100" s="112">
        <f>((IF(U100&lt;=informatieblad!$I$19,informatieblad!$I$19,IF(U100&gt;=informatieblad!$I$19,U100))))</f>
        <v>0.5</v>
      </c>
      <c r="W100" s="112">
        <f>(((2*(B98+C98))*(D98+25)))/1000000</f>
        <v>0</v>
      </c>
      <c r="X100" s="112">
        <f>((IF(W100&lt;=informatieblad!$H$19,informatieblad!$H$19,IF(W100&gt;=informatieblad!$H$19,W100))))</f>
        <v>0</v>
      </c>
      <c r="Y100" s="113">
        <f>((X100*AI100)+(X100*AB100))*C100</f>
        <v>0</v>
      </c>
      <c r="Z100" s="114">
        <f>((V100*AJ100)+(V100*AC100))*C100</f>
        <v>0</v>
      </c>
      <c r="AA100" s="115" t="str">
        <f>F100</f>
        <v>Options None</v>
      </c>
      <c r="AB100" s="115">
        <f>VLOOKUP(F100,informatieblad!$A$37:$D$41,2,FALSE)</f>
        <v>0</v>
      </c>
      <c r="AC100" s="115">
        <f>VLOOKUP(F100,informatieblad!$A$37:$D$41,4,FALSE)</f>
        <v>0</v>
      </c>
      <c r="AD100" s="180">
        <f>(MAX(K98,L98))</f>
        <v>0</v>
      </c>
      <c r="AE100" s="119">
        <f>(MAX(M98,N98))</f>
        <v>0</v>
      </c>
      <c r="AF100" s="119">
        <f>(MAX(K98,M98))</f>
        <v>0</v>
      </c>
      <c r="AG100" s="119">
        <f>(MAX(B98:C98))</f>
        <v>0</v>
      </c>
      <c r="AH100" s="119">
        <f>LOOKUP(AG100,informatieblad!$C$27:$C$32,informatieblad!$A$27:$A$32)</f>
        <v>0.5</v>
      </c>
      <c r="AI100" s="118">
        <f>VLOOKUP(AH100,informatieblad!$A$27:$M$32,6,FALSE)</f>
        <v>0</v>
      </c>
      <c r="AJ100" s="118">
        <f>VLOOKUP(AH100,informatieblad!$A$27:$M$32,8,FALSE)</f>
        <v>45.1248</v>
      </c>
      <c r="AK100" s="120">
        <f>VLOOKUP(AH100,informatieblad!$A$27:$M$32,13,FALSE)</f>
        <v>4</v>
      </c>
      <c r="AL100" s="121">
        <f>ROUND((AK100*W100),1)</f>
        <v>0</v>
      </c>
      <c r="AO100" s="111">
        <f>(IF(B99=AO98,((2*B98)+(2*C98)),IF(B99=AO99,((2*B98)+(2*C98)),0)))*C100</f>
        <v>0</v>
      </c>
      <c r="AP100" s="111">
        <f>(IF(B99=AP98,((2*B98)+(2*C98)),IF(B99=AP99,((2*B98)+(2*C98)),0)))*C100</f>
        <v>0</v>
      </c>
      <c r="AQ100" s="261">
        <f>(IF(B99=AQ98,((2*B98)+(2*C98)),IF(B99=AQ99,((2*B98)+(2*C98)),0)))*C100</f>
        <v>0</v>
      </c>
      <c r="AR100" s="283">
        <f>(IF(B99=AR98,((2*B98)+(2*C98)),0))*C100</f>
        <v>0</v>
      </c>
      <c r="AS100" s="64"/>
      <c r="AT100" s="268"/>
      <c r="AU100" s="64"/>
      <c r="AV100" s="268">
        <f>(AG100+100)*C100</f>
        <v>0</v>
      </c>
      <c r="AW100" s="64"/>
      <c r="AX100" s="111" t="str">
        <f>IF(B99=informatieblad!$A$6,informatieblad!$B$6,IF(B99=informatieblad!$A$7,informatieblad!$B$7,IF(B99=informatieblad!$A$8,informatieblad!$B$8,IF(B99=informatieblad!$A$2,informatieblad!$B$2,IF(B99=informatieblad!$A$3,informatieblad!$B$3,IF(B99=informatieblad!$A$4,informatieblad!$B$4,IF(B99=informatieblad!$A$5,informatieblad!$B$5,"")))))))</f>
        <v/>
      </c>
      <c r="AY100" s="276">
        <f>IF(AX100=AY98,(4*C100),0)</f>
        <v>0</v>
      </c>
      <c r="AZ100" s="274">
        <f>IF(AX100=AZ98,(4*C100),0)</f>
        <v>0</v>
      </c>
    </row>
    <row r="101" spans="1:52" ht="5.0999999999999996" customHeight="1" thickBot="1">
      <c r="A101" s="231"/>
      <c r="B101" s="232"/>
      <c r="C101" s="232"/>
      <c r="D101" s="232"/>
      <c r="E101" s="232"/>
      <c r="F101" s="232"/>
      <c r="G101" s="232"/>
      <c r="H101" s="232"/>
      <c r="I101" s="233"/>
      <c r="J101" s="64"/>
    </row>
    <row r="102" spans="1:52" ht="15.75" thickBot="1">
      <c r="A102" s="494"/>
      <c r="B102" s="234"/>
      <c r="C102" s="234"/>
      <c r="D102" s="220">
        <f>(B102&gt;0)*$I$8</f>
        <v>0</v>
      </c>
      <c r="E102" s="221"/>
      <c r="F102" s="221"/>
      <c r="G102" s="221"/>
      <c r="H102" s="221"/>
      <c r="I102" s="222"/>
      <c r="J102" s="345" t="s">
        <v>20</v>
      </c>
      <c r="T102" s="97" t="s">
        <v>14</v>
      </c>
      <c r="U102" s="98" t="s">
        <v>27</v>
      </c>
      <c r="V102" s="98" t="s">
        <v>28</v>
      </c>
      <c r="W102" s="98" t="s">
        <v>27</v>
      </c>
      <c r="X102" s="98" t="s">
        <v>28</v>
      </c>
      <c r="Y102" s="98" t="s">
        <v>29</v>
      </c>
      <c r="Z102" s="66" t="s">
        <v>30</v>
      </c>
      <c r="AA102" s="153" t="s">
        <v>31</v>
      </c>
      <c r="AB102" s="153"/>
      <c r="AC102" s="153"/>
      <c r="AD102" s="154" t="s">
        <v>83</v>
      </c>
      <c r="AE102" s="100" t="s">
        <v>83</v>
      </c>
      <c r="AF102" s="100" t="s">
        <v>83</v>
      </c>
      <c r="AG102" s="100" t="s">
        <v>33</v>
      </c>
      <c r="AH102" s="100" t="s">
        <v>34</v>
      </c>
      <c r="AI102" s="98" t="s">
        <v>32</v>
      </c>
      <c r="AJ102" s="98" t="s">
        <v>32</v>
      </c>
      <c r="AK102" s="98" t="s">
        <v>49</v>
      </c>
      <c r="AL102" s="101" t="s">
        <v>36</v>
      </c>
      <c r="AO102" s="97" t="str">
        <f>informatieblad!$A$6</f>
        <v>FL20</v>
      </c>
      <c r="AP102" s="97" t="str">
        <f>informatieblad!$A$7</f>
        <v>FL30</v>
      </c>
      <c r="AQ102" s="99" t="str">
        <f>informatieblad!$A$8</f>
        <v>FL40</v>
      </c>
      <c r="AR102" s="266" t="str">
        <f>informatieblad!$A$5</f>
        <v>none</v>
      </c>
      <c r="AS102" s="64"/>
      <c r="AT102" s="266"/>
      <c r="AU102" s="64"/>
      <c r="AV102" s="266" t="s">
        <v>37</v>
      </c>
      <c r="AW102" s="64"/>
      <c r="AX102" s="269" t="s">
        <v>38</v>
      </c>
      <c r="AY102" s="272">
        <f>informatieblad!$B$3</f>
        <v>0</v>
      </c>
      <c r="AZ102" s="264">
        <f>informatieblad!$B$4</f>
        <v>0</v>
      </c>
    </row>
    <row r="103" spans="1:52">
      <c r="A103" s="475"/>
      <c r="B103" s="502" t="str">
        <f>IF($C104&gt;0,IF(MAX(B102,C102)&lt;informatieblad!$Q$4,informatieblad!$P$3,IF(MAX(B102,C102)&gt;informatieblad!$R$4,informatieblad!$P$5,informatieblad!$P$4)),"")</f>
        <v/>
      </c>
      <c r="C103" s="503"/>
      <c r="D103" s="223"/>
      <c r="E103" s="223"/>
      <c r="F103" s="224" t="str">
        <f>A102&amp;"-"&amp;informatieblad!$B$19&amp;"-"&amp;B102&amp;"-"&amp;C102&amp;"-"&amp;D102&amp;"-"&amp;B103&amp;"-"&amp;F104</f>
        <v>-RctS---0--Options None</v>
      </c>
      <c r="G103" s="235"/>
      <c r="H103" s="235"/>
      <c r="I103" s="236"/>
      <c r="J103" s="83"/>
      <c r="T103" s="103">
        <f>A102</f>
        <v>0</v>
      </c>
      <c r="U103" s="104" t="s">
        <v>39</v>
      </c>
      <c r="V103" s="104" t="s">
        <v>39</v>
      </c>
      <c r="W103" s="104" t="s">
        <v>40</v>
      </c>
      <c r="X103" s="104" t="s">
        <v>40</v>
      </c>
      <c r="Y103" s="104" t="s">
        <v>40</v>
      </c>
      <c r="Z103" s="105"/>
      <c r="AA103" s="155" t="s">
        <v>27</v>
      </c>
      <c r="AB103" s="155" t="s">
        <v>40</v>
      </c>
      <c r="AC103" s="155" t="s">
        <v>41</v>
      </c>
      <c r="AD103" s="156" t="s">
        <v>107</v>
      </c>
      <c r="AE103" s="104" t="s">
        <v>108</v>
      </c>
      <c r="AF103" s="107" t="s">
        <v>91</v>
      </c>
      <c r="AG103" s="107" t="s">
        <v>44</v>
      </c>
      <c r="AH103" s="107"/>
      <c r="AI103" s="104" t="s">
        <v>40</v>
      </c>
      <c r="AJ103" s="104" t="s">
        <v>41</v>
      </c>
      <c r="AK103" s="108"/>
      <c r="AL103" s="109"/>
      <c r="AO103" s="262" t="str">
        <f>informatieblad!$A$2</f>
        <v>FL20 loose</v>
      </c>
      <c r="AP103" s="262" t="str">
        <f>informatieblad!$A$3</f>
        <v>FL30 loose</v>
      </c>
      <c r="AQ103" s="263" t="str">
        <f>informatieblad!$A$4</f>
        <v>FL40 loose</v>
      </c>
      <c r="AR103" s="282"/>
      <c r="AS103" s="64"/>
      <c r="AT103" s="267"/>
      <c r="AU103" s="64"/>
      <c r="AV103" s="267"/>
      <c r="AW103" s="64"/>
      <c r="AX103" s="265" t="s">
        <v>47</v>
      </c>
      <c r="AY103" s="83" t="s">
        <v>23</v>
      </c>
      <c r="AZ103" s="273" t="s">
        <v>23</v>
      </c>
    </row>
    <row r="104" spans="1:52" ht="15.75" thickBot="1">
      <c r="A104" s="495"/>
      <c r="B104" s="227" t="s">
        <v>23</v>
      </c>
      <c r="C104" s="237"/>
      <c r="D104" s="229">
        <f>C104*V104</f>
        <v>0</v>
      </c>
      <c r="E104" s="230" t="s">
        <v>24</v>
      </c>
      <c r="F104" s="498" t="s">
        <v>25</v>
      </c>
      <c r="G104" s="452"/>
      <c r="H104" s="452"/>
      <c r="I104" s="453"/>
      <c r="J104" s="176"/>
      <c r="T104" s="111"/>
      <c r="U104" s="112">
        <f>(((2*(B102+C102))*(D102+25)))/1000000</f>
        <v>0</v>
      </c>
      <c r="V104" s="112">
        <f>((IF(U104&lt;=informatieblad!$I$19,informatieblad!$I$19,IF(U104&gt;=informatieblad!$I$19,U104))))</f>
        <v>0.5</v>
      </c>
      <c r="W104" s="112">
        <f>(((2*(B102+C102))*(D102+25)))/1000000</f>
        <v>0</v>
      </c>
      <c r="X104" s="112">
        <f>((IF(W104&lt;=informatieblad!$H$19,informatieblad!$H$19,IF(W104&gt;=informatieblad!$H$19,W104))))</f>
        <v>0</v>
      </c>
      <c r="Y104" s="113">
        <f>((X104*AI104)+(X104*AB104))*C104</f>
        <v>0</v>
      </c>
      <c r="Z104" s="114">
        <f>((V104*AJ104)+(V104*AC104))*C104</f>
        <v>0</v>
      </c>
      <c r="AA104" s="115" t="str">
        <f>F104</f>
        <v>Options None</v>
      </c>
      <c r="AB104" s="115">
        <f>VLOOKUP(F104,informatieblad!$A$37:$D$41,2,FALSE)</f>
        <v>0</v>
      </c>
      <c r="AC104" s="115">
        <f>VLOOKUP(F104,informatieblad!$A$37:$D$41,4,FALSE)</f>
        <v>0</v>
      </c>
      <c r="AD104" s="180">
        <f>(MAX(K102,L102))</f>
        <v>0</v>
      </c>
      <c r="AE104" s="119">
        <f>(MAX(M102,N102))</f>
        <v>0</v>
      </c>
      <c r="AF104" s="119">
        <f>(MAX(K102,M102))</f>
        <v>0</v>
      </c>
      <c r="AG104" s="119">
        <f>(MAX(B102:C102))</f>
        <v>0</v>
      </c>
      <c r="AH104" s="119">
        <f>LOOKUP(AG104,informatieblad!$C$27:$C$32,informatieblad!$A$27:$A$32)</f>
        <v>0.5</v>
      </c>
      <c r="AI104" s="118">
        <f>VLOOKUP(AH104,informatieblad!$A$27:$M$32,6,FALSE)</f>
        <v>0</v>
      </c>
      <c r="AJ104" s="118">
        <f>VLOOKUP(AH104,informatieblad!$A$27:$M$32,8,FALSE)</f>
        <v>45.1248</v>
      </c>
      <c r="AK104" s="120">
        <f>VLOOKUP(AH104,informatieblad!$A$27:$M$32,13,FALSE)</f>
        <v>4</v>
      </c>
      <c r="AL104" s="121">
        <f>ROUND((AK104*W104),1)</f>
        <v>0</v>
      </c>
      <c r="AO104" s="111">
        <f>(IF(B103=AO102,((2*B102)+(2*C102)),IF(B103=AO103,((2*B102)+(2*C102)),0)))*C104</f>
        <v>0</v>
      </c>
      <c r="AP104" s="111">
        <f>(IF(B103=AP102,((2*B102)+(2*C102)),IF(B103=AP103,((2*B102)+(2*C102)),0)))*C104</f>
        <v>0</v>
      </c>
      <c r="AQ104" s="261">
        <f>(IF(B103=AQ102,((2*B102)+(2*C102)),IF(B103=AQ103,((2*B102)+(2*C102)),0)))*C104</f>
        <v>0</v>
      </c>
      <c r="AR104" s="283">
        <f>(IF(B103=AR102,((2*B102)+(2*C102)),0))*C104</f>
        <v>0</v>
      </c>
      <c r="AS104" s="64"/>
      <c r="AT104" s="268"/>
      <c r="AU104" s="64"/>
      <c r="AV104" s="268">
        <f>(AG104+100)*C104</f>
        <v>0</v>
      </c>
      <c r="AW104" s="64"/>
      <c r="AX104" s="111" t="str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/>
      </c>
      <c r="AY104" s="276">
        <f>IF(AX104=AY102,(4*C104),0)</f>
        <v>0</v>
      </c>
      <c r="AZ104" s="274">
        <f>IF(AX104=AZ102,(4*C104),0)</f>
        <v>0</v>
      </c>
    </row>
    <row r="105" spans="1:52" ht="5.0999999999999996" customHeight="1" thickBot="1">
      <c r="A105" s="231"/>
      <c r="B105" s="232"/>
      <c r="C105" s="232"/>
      <c r="D105" s="232"/>
      <c r="E105" s="232"/>
      <c r="F105" s="232"/>
      <c r="G105" s="232"/>
      <c r="H105" s="232"/>
      <c r="I105" s="233"/>
      <c r="J105" s="64"/>
    </row>
    <row r="106" spans="1:52" ht="15.75" thickBot="1">
      <c r="A106" s="494"/>
      <c r="B106" s="234"/>
      <c r="C106" s="234"/>
      <c r="D106" s="220">
        <f>(B106&gt;0)*$I$8</f>
        <v>0</v>
      </c>
      <c r="E106" s="221"/>
      <c r="F106" s="221"/>
      <c r="G106" s="221"/>
      <c r="H106" s="221"/>
      <c r="I106" s="222"/>
      <c r="J106" s="345" t="s">
        <v>20</v>
      </c>
      <c r="T106" s="97" t="s">
        <v>14</v>
      </c>
      <c r="U106" s="98" t="s">
        <v>27</v>
      </c>
      <c r="V106" s="98" t="s">
        <v>28</v>
      </c>
      <c r="W106" s="98" t="s">
        <v>27</v>
      </c>
      <c r="X106" s="98" t="s">
        <v>28</v>
      </c>
      <c r="Y106" s="98" t="s">
        <v>29</v>
      </c>
      <c r="Z106" s="66" t="s">
        <v>30</v>
      </c>
      <c r="AA106" s="153" t="s">
        <v>31</v>
      </c>
      <c r="AB106" s="153"/>
      <c r="AC106" s="153"/>
      <c r="AD106" s="154" t="s">
        <v>83</v>
      </c>
      <c r="AE106" s="100" t="s">
        <v>83</v>
      </c>
      <c r="AF106" s="100" t="s">
        <v>83</v>
      </c>
      <c r="AG106" s="100" t="s">
        <v>33</v>
      </c>
      <c r="AH106" s="100" t="s">
        <v>34</v>
      </c>
      <c r="AI106" s="98" t="s">
        <v>32</v>
      </c>
      <c r="AJ106" s="98" t="s">
        <v>32</v>
      </c>
      <c r="AK106" s="98" t="s">
        <v>49</v>
      </c>
      <c r="AL106" s="101" t="s">
        <v>36</v>
      </c>
      <c r="AO106" s="97" t="str">
        <f>informatieblad!$A$6</f>
        <v>FL20</v>
      </c>
      <c r="AP106" s="97" t="str">
        <f>informatieblad!$A$7</f>
        <v>FL30</v>
      </c>
      <c r="AQ106" s="99" t="str">
        <f>informatieblad!$A$8</f>
        <v>FL40</v>
      </c>
      <c r="AR106" s="266" t="str">
        <f>informatieblad!$A$5</f>
        <v>none</v>
      </c>
      <c r="AS106" s="64"/>
      <c r="AT106" s="266"/>
      <c r="AU106" s="64"/>
      <c r="AV106" s="266" t="s">
        <v>37</v>
      </c>
      <c r="AW106" s="64"/>
      <c r="AX106" s="269" t="s">
        <v>38</v>
      </c>
      <c r="AY106" s="272">
        <f>informatieblad!$B$3</f>
        <v>0</v>
      </c>
      <c r="AZ106" s="264">
        <f>informatieblad!$B$4</f>
        <v>0</v>
      </c>
    </row>
    <row r="107" spans="1:52">
      <c r="A107" s="475"/>
      <c r="B107" s="502" t="str">
        <f>IF($C108&gt;0,IF(MAX(B106,C106)&lt;informatieblad!$Q$4,informatieblad!$P$3,IF(MAX(B106,C106)&gt;informatieblad!$R$4,informatieblad!$P$5,informatieblad!$P$4)),"")</f>
        <v/>
      </c>
      <c r="C107" s="503"/>
      <c r="D107" s="223"/>
      <c r="E107" s="223"/>
      <c r="F107" s="224" t="str">
        <f>A106&amp;"-"&amp;informatieblad!$B$19&amp;"-"&amp;B106&amp;"-"&amp;C106&amp;"-"&amp;D106&amp;"-"&amp;B107&amp;"-"&amp;F108</f>
        <v>-RctS---0--Options None</v>
      </c>
      <c r="G107" s="235"/>
      <c r="H107" s="235"/>
      <c r="I107" s="236"/>
      <c r="J107" s="83"/>
      <c r="T107" s="103">
        <f>A106</f>
        <v>0</v>
      </c>
      <c r="U107" s="104" t="s">
        <v>39</v>
      </c>
      <c r="V107" s="104" t="s">
        <v>39</v>
      </c>
      <c r="W107" s="104" t="s">
        <v>40</v>
      </c>
      <c r="X107" s="104" t="s">
        <v>40</v>
      </c>
      <c r="Y107" s="104" t="s">
        <v>40</v>
      </c>
      <c r="Z107" s="105"/>
      <c r="AA107" s="155" t="s">
        <v>27</v>
      </c>
      <c r="AB107" s="155" t="s">
        <v>40</v>
      </c>
      <c r="AC107" s="155" t="s">
        <v>41</v>
      </c>
      <c r="AD107" s="156" t="s">
        <v>107</v>
      </c>
      <c r="AE107" s="104" t="s">
        <v>108</v>
      </c>
      <c r="AF107" s="107" t="s">
        <v>91</v>
      </c>
      <c r="AG107" s="107" t="s">
        <v>44</v>
      </c>
      <c r="AH107" s="107"/>
      <c r="AI107" s="104" t="s">
        <v>40</v>
      </c>
      <c r="AJ107" s="104" t="s">
        <v>41</v>
      </c>
      <c r="AK107" s="108"/>
      <c r="AL107" s="109"/>
      <c r="AO107" s="262" t="str">
        <f>informatieblad!$A$2</f>
        <v>FL20 loose</v>
      </c>
      <c r="AP107" s="262" t="str">
        <f>informatieblad!$A$3</f>
        <v>FL30 loose</v>
      </c>
      <c r="AQ107" s="263" t="str">
        <f>informatieblad!$A$4</f>
        <v>FL40 loose</v>
      </c>
      <c r="AR107" s="282"/>
      <c r="AS107" s="64"/>
      <c r="AT107" s="267"/>
      <c r="AU107" s="64"/>
      <c r="AV107" s="267"/>
      <c r="AW107" s="64"/>
      <c r="AX107" s="265" t="s">
        <v>47</v>
      </c>
      <c r="AY107" s="83" t="s">
        <v>23</v>
      </c>
      <c r="AZ107" s="273" t="s">
        <v>23</v>
      </c>
    </row>
    <row r="108" spans="1:52" ht="15.75" thickBot="1">
      <c r="A108" s="495"/>
      <c r="B108" s="227" t="s">
        <v>23</v>
      </c>
      <c r="C108" s="237"/>
      <c r="D108" s="229">
        <f>C108*V108</f>
        <v>0</v>
      </c>
      <c r="E108" s="230" t="s">
        <v>24</v>
      </c>
      <c r="F108" s="498" t="s">
        <v>25</v>
      </c>
      <c r="G108" s="452"/>
      <c r="H108" s="452"/>
      <c r="I108" s="453"/>
      <c r="J108" s="176"/>
      <c r="T108" s="111"/>
      <c r="U108" s="112">
        <f>(((2*(B106+C106))*(D106+25)))/1000000</f>
        <v>0</v>
      </c>
      <c r="V108" s="112">
        <f>((IF(U108&lt;=informatieblad!$I$19,informatieblad!$I$19,IF(U108&gt;=informatieblad!$I$19,U108))))</f>
        <v>0.5</v>
      </c>
      <c r="W108" s="112">
        <f>(((2*(B106+C106))*(D106+25)))/1000000</f>
        <v>0</v>
      </c>
      <c r="X108" s="112">
        <f>((IF(W108&lt;=informatieblad!$H$19,informatieblad!$H$19,IF(W108&gt;=informatieblad!$H$19,W108))))</f>
        <v>0</v>
      </c>
      <c r="Y108" s="113">
        <f>((X108*AI108)+(X108*AB108))*C108</f>
        <v>0</v>
      </c>
      <c r="Z108" s="114">
        <f>((V108*AJ108)+(V108*AC108))*C108</f>
        <v>0</v>
      </c>
      <c r="AA108" s="115" t="str">
        <f>F108</f>
        <v>Options None</v>
      </c>
      <c r="AB108" s="115">
        <f>VLOOKUP(F108,informatieblad!$A$37:$D$41,2,FALSE)</f>
        <v>0</v>
      </c>
      <c r="AC108" s="115">
        <f>VLOOKUP(F108,informatieblad!$A$37:$D$41,4,FALSE)</f>
        <v>0</v>
      </c>
      <c r="AD108" s="180">
        <f>(MAX(K106,L106))</f>
        <v>0</v>
      </c>
      <c r="AE108" s="119">
        <f>(MAX(M106,N106))</f>
        <v>0</v>
      </c>
      <c r="AF108" s="119">
        <f>(MAX(K106,M106))</f>
        <v>0</v>
      </c>
      <c r="AG108" s="119">
        <f>(MAX(B106:C106))</f>
        <v>0</v>
      </c>
      <c r="AH108" s="119">
        <f>LOOKUP(AG108,informatieblad!$C$27:$C$32,informatieblad!$A$27:$A$32)</f>
        <v>0.5</v>
      </c>
      <c r="AI108" s="118">
        <f>VLOOKUP(AH108,informatieblad!$A$27:$M$32,6,FALSE)</f>
        <v>0</v>
      </c>
      <c r="AJ108" s="118">
        <f>VLOOKUP(AH108,informatieblad!$A$27:$M$32,8,FALSE)</f>
        <v>45.1248</v>
      </c>
      <c r="AK108" s="120">
        <f>VLOOKUP(AH108,informatieblad!$A$27:$M$32,13,FALSE)</f>
        <v>4</v>
      </c>
      <c r="AL108" s="121">
        <f>ROUND((AK108*W108),1)</f>
        <v>0</v>
      </c>
      <c r="AO108" s="111">
        <f>(IF(B107=AO106,((2*B106)+(2*C106)),IF(B107=AO107,((2*B106)+(2*C106)),0)))*C108</f>
        <v>0</v>
      </c>
      <c r="AP108" s="111">
        <f>(IF(B107=AP106,((2*B106)+(2*C106)),IF(B107=AP107,((2*B106)+(2*C106)),0)))*C108</f>
        <v>0</v>
      </c>
      <c r="AQ108" s="261">
        <f>(IF(B107=AQ106,((2*B106)+(2*C106)),IF(B107=AQ107,((2*B106)+(2*C106)),0)))*C108</f>
        <v>0</v>
      </c>
      <c r="AR108" s="283">
        <f>(IF(B107=AR106,((2*B106)+(2*C106)),0))*C108</f>
        <v>0</v>
      </c>
      <c r="AS108" s="64"/>
      <c r="AT108" s="268"/>
      <c r="AU108" s="64"/>
      <c r="AV108" s="268">
        <f>(AG108+100)*C108</f>
        <v>0</v>
      </c>
      <c r="AW108" s="64"/>
      <c r="AX108" s="111" t="str">
        <f>IF(B107=informatieblad!$A$6,informatieblad!$B$6,IF(B107=informatieblad!$A$7,informatieblad!$B$7,IF(B107=informatieblad!$A$8,informatieblad!$B$8,IF(B107=informatieblad!$A$2,informatieblad!$B$2,IF(B107=informatieblad!$A$3,informatieblad!$B$3,IF(B107=informatieblad!$A$4,informatieblad!$B$4,IF(B107=informatieblad!$A$5,informatieblad!$B$5,"")))))))</f>
        <v/>
      </c>
      <c r="AY108" s="276">
        <f>IF(AX108=AY106,(4*C108),0)</f>
        <v>0</v>
      </c>
      <c r="AZ108" s="274">
        <f>IF(AX108=AZ106,(4*C108),0)</f>
        <v>0</v>
      </c>
    </row>
    <row r="109" spans="1:52" ht="5.0999999999999996" customHeight="1" thickBot="1">
      <c r="A109" s="231"/>
      <c r="B109" s="232"/>
      <c r="C109" s="232"/>
      <c r="D109" s="232"/>
      <c r="E109" s="232"/>
      <c r="F109" s="232"/>
      <c r="G109" s="232"/>
      <c r="H109" s="232"/>
      <c r="I109" s="233"/>
      <c r="J109" s="64"/>
    </row>
    <row r="110" spans="1:52" ht="15.75" thickBot="1">
      <c r="A110" s="494"/>
      <c r="B110" s="234"/>
      <c r="C110" s="234"/>
      <c r="D110" s="220">
        <f>(B110&gt;0)*$I$8</f>
        <v>0</v>
      </c>
      <c r="E110" s="221"/>
      <c r="F110" s="221"/>
      <c r="G110" s="221"/>
      <c r="H110" s="221"/>
      <c r="I110" s="222"/>
      <c r="J110" s="345" t="s">
        <v>20</v>
      </c>
      <c r="T110" s="97" t="s">
        <v>14</v>
      </c>
      <c r="U110" s="98" t="s">
        <v>27</v>
      </c>
      <c r="V110" s="98" t="s">
        <v>28</v>
      </c>
      <c r="W110" s="98" t="s">
        <v>27</v>
      </c>
      <c r="X110" s="98" t="s">
        <v>28</v>
      </c>
      <c r="Y110" s="98" t="s">
        <v>29</v>
      </c>
      <c r="Z110" s="66" t="s">
        <v>30</v>
      </c>
      <c r="AA110" s="153" t="s">
        <v>31</v>
      </c>
      <c r="AB110" s="153"/>
      <c r="AC110" s="153"/>
      <c r="AD110" s="154" t="s">
        <v>83</v>
      </c>
      <c r="AE110" s="100" t="s">
        <v>83</v>
      </c>
      <c r="AF110" s="100" t="s">
        <v>83</v>
      </c>
      <c r="AG110" s="100" t="s">
        <v>33</v>
      </c>
      <c r="AH110" s="100" t="s">
        <v>34</v>
      </c>
      <c r="AI110" s="98" t="s">
        <v>32</v>
      </c>
      <c r="AJ110" s="98" t="s">
        <v>32</v>
      </c>
      <c r="AK110" s="98" t="s">
        <v>49</v>
      </c>
      <c r="AL110" s="101" t="s">
        <v>36</v>
      </c>
      <c r="AO110" s="97" t="str">
        <f>informatieblad!$A$6</f>
        <v>FL20</v>
      </c>
      <c r="AP110" s="97" t="str">
        <f>informatieblad!$A$7</f>
        <v>FL30</v>
      </c>
      <c r="AQ110" s="99" t="str">
        <f>informatieblad!$A$8</f>
        <v>FL40</v>
      </c>
      <c r="AR110" s="266" t="str">
        <f>informatieblad!$A$5</f>
        <v>none</v>
      </c>
      <c r="AS110" s="64"/>
      <c r="AT110" s="266"/>
      <c r="AU110" s="64"/>
      <c r="AV110" s="266" t="s">
        <v>37</v>
      </c>
      <c r="AW110" s="64"/>
      <c r="AX110" s="269" t="s">
        <v>38</v>
      </c>
      <c r="AY110" s="272">
        <f>informatieblad!$B$3</f>
        <v>0</v>
      </c>
      <c r="AZ110" s="264">
        <f>informatieblad!$B$4</f>
        <v>0</v>
      </c>
    </row>
    <row r="111" spans="1:52">
      <c r="A111" s="475"/>
      <c r="B111" s="502" t="str">
        <f>IF($C112&gt;0,IF(MAX(B110,C110)&lt;informatieblad!$Q$4,informatieblad!$P$3,IF(MAX(B110,C110)&gt;informatieblad!$R$4,informatieblad!$P$5,informatieblad!$P$4)),"")</f>
        <v/>
      </c>
      <c r="C111" s="503"/>
      <c r="D111" s="223"/>
      <c r="E111" s="223"/>
      <c r="F111" s="224" t="str">
        <f>A110&amp;"-"&amp;informatieblad!$B$19&amp;"-"&amp;B110&amp;"-"&amp;C110&amp;"-"&amp;D110&amp;"-"&amp;B111&amp;"-"&amp;F112</f>
        <v>-RctS---0--Options None</v>
      </c>
      <c r="G111" s="235"/>
      <c r="H111" s="235"/>
      <c r="I111" s="236"/>
      <c r="J111" s="83"/>
      <c r="T111" s="103">
        <f>A110</f>
        <v>0</v>
      </c>
      <c r="U111" s="104" t="s">
        <v>39</v>
      </c>
      <c r="V111" s="104" t="s">
        <v>39</v>
      </c>
      <c r="W111" s="104" t="s">
        <v>40</v>
      </c>
      <c r="X111" s="104" t="s">
        <v>40</v>
      </c>
      <c r="Y111" s="104" t="s">
        <v>40</v>
      </c>
      <c r="Z111" s="105"/>
      <c r="AA111" s="155" t="s">
        <v>27</v>
      </c>
      <c r="AB111" s="155" t="s">
        <v>40</v>
      </c>
      <c r="AC111" s="155" t="s">
        <v>41</v>
      </c>
      <c r="AD111" s="156" t="s">
        <v>107</v>
      </c>
      <c r="AE111" s="104" t="s">
        <v>108</v>
      </c>
      <c r="AF111" s="107" t="s">
        <v>91</v>
      </c>
      <c r="AG111" s="107" t="s">
        <v>44</v>
      </c>
      <c r="AH111" s="107"/>
      <c r="AI111" s="104" t="s">
        <v>40</v>
      </c>
      <c r="AJ111" s="104" t="s">
        <v>41</v>
      </c>
      <c r="AK111" s="108"/>
      <c r="AL111" s="109"/>
      <c r="AO111" s="262" t="str">
        <f>informatieblad!$A$2</f>
        <v>FL20 loose</v>
      </c>
      <c r="AP111" s="262" t="str">
        <f>informatieblad!$A$3</f>
        <v>FL30 loose</v>
      </c>
      <c r="AQ111" s="263" t="str">
        <f>informatieblad!$A$4</f>
        <v>FL40 loose</v>
      </c>
      <c r="AR111" s="282"/>
      <c r="AS111" s="64"/>
      <c r="AT111" s="267"/>
      <c r="AU111" s="64"/>
      <c r="AV111" s="267"/>
      <c r="AW111" s="64"/>
      <c r="AX111" s="265" t="s">
        <v>47</v>
      </c>
      <c r="AY111" s="83" t="s">
        <v>23</v>
      </c>
      <c r="AZ111" s="273" t="s">
        <v>23</v>
      </c>
    </row>
    <row r="112" spans="1:52" ht="15.75" thickBot="1">
      <c r="A112" s="495"/>
      <c r="B112" s="227" t="s">
        <v>23</v>
      </c>
      <c r="C112" s="237"/>
      <c r="D112" s="229">
        <f>C112*V112</f>
        <v>0</v>
      </c>
      <c r="E112" s="230" t="s">
        <v>24</v>
      </c>
      <c r="F112" s="498" t="s">
        <v>25</v>
      </c>
      <c r="G112" s="452"/>
      <c r="H112" s="452"/>
      <c r="I112" s="453"/>
      <c r="J112" s="176"/>
      <c r="T112" s="111"/>
      <c r="U112" s="112">
        <f>(((2*(B110+C110))*(D110+25)))/1000000</f>
        <v>0</v>
      </c>
      <c r="V112" s="112">
        <f>((IF(U112&lt;=informatieblad!$I$19,informatieblad!$I$19,IF(U112&gt;=informatieblad!$I$19,U112))))</f>
        <v>0.5</v>
      </c>
      <c r="W112" s="112">
        <f>(((2*(B110+C110))*(D110+25)))/1000000</f>
        <v>0</v>
      </c>
      <c r="X112" s="112">
        <f>((IF(W112&lt;=informatieblad!$H$19,informatieblad!$H$19,IF(W112&gt;=informatieblad!$H$19,W112))))</f>
        <v>0</v>
      </c>
      <c r="Y112" s="113">
        <f>((X112*AI112)+(X112*AB112))*C112</f>
        <v>0</v>
      </c>
      <c r="Z112" s="114">
        <f>((V112*AJ112)+(V112*AC112))*C112</f>
        <v>0</v>
      </c>
      <c r="AA112" s="115" t="str">
        <f>F112</f>
        <v>Options None</v>
      </c>
      <c r="AB112" s="115">
        <f>VLOOKUP(F112,informatieblad!$A$37:$D$41,2,FALSE)</f>
        <v>0</v>
      </c>
      <c r="AC112" s="115">
        <f>VLOOKUP(F112,informatieblad!$A$37:$D$41,4,FALSE)</f>
        <v>0</v>
      </c>
      <c r="AD112" s="180">
        <f>(MAX(K110,L110))</f>
        <v>0</v>
      </c>
      <c r="AE112" s="119">
        <f>(MAX(M110,N110))</f>
        <v>0</v>
      </c>
      <c r="AF112" s="119">
        <f>(MAX(K110,M110))</f>
        <v>0</v>
      </c>
      <c r="AG112" s="119">
        <f>(MAX(B110:C110))</f>
        <v>0</v>
      </c>
      <c r="AH112" s="119">
        <f>LOOKUP(AG112,informatieblad!$C$27:$C$32,informatieblad!$A$27:$A$32)</f>
        <v>0.5</v>
      </c>
      <c r="AI112" s="118">
        <f>VLOOKUP(AH112,informatieblad!$A$27:$M$32,6,FALSE)</f>
        <v>0</v>
      </c>
      <c r="AJ112" s="118">
        <f>VLOOKUP(AH112,informatieblad!$A$27:$M$32,8,FALSE)</f>
        <v>45.1248</v>
      </c>
      <c r="AK112" s="120">
        <f>VLOOKUP(AH112,informatieblad!$A$27:$M$32,13,FALSE)</f>
        <v>4</v>
      </c>
      <c r="AL112" s="121">
        <f>ROUND((AK112*W112),1)</f>
        <v>0</v>
      </c>
      <c r="AO112" s="111">
        <f>(IF(B111=AO110,((2*B110)+(2*C110)),IF(B111=AO111,((2*B110)+(2*C110)),0)))*C112</f>
        <v>0</v>
      </c>
      <c r="AP112" s="111">
        <f>(IF(B111=AP110,((2*B110)+(2*C110)),IF(B111=AP111,((2*B110)+(2*C110)),0)))*C112</f>
        <v>0</v>
      </c>
      <c r="AQ112" s="261">
        <f>(IF(B111=AQ110,((2*B110)+(2*C110)),IF(B111=AQ111,((2*B110)+(2*C110)),0)))*C112</f>
        <v>0</v>
      </c>
      <c r="AR112" s="283">
        <f>(IF(B111=AR110,((2*B110)+(2*C110)),0))*C112</f>
        <v>0</v>
      </c>
      <c r="AS112" s="64"/>
      <c r="AT112" s="268"/>
      <c r="AU112" s="64"/>
      <c r="AV112" s="268">
        <f>(AG112+100)*C112</f>
        <v>0</v>
      </c>
      <c r="AW112" s="64"/>
      <c r="AX112" s="111" t="str">
        <f>IF(B111=informatieblad!$A$6,informatieblad!$B$6,IF(B111=informatieblad!$A$7,informatieblad!$B$7,IF(B111=informatieblad!$A$8,informatieblad!$B$8,IF(B111=informatieblad!$A$2,informatieblad!$B$2,IF(B111=informatieblad!$A$3,informatieblad!$B$3,IF(B111=informatieblad!$A$4,informatieblad!$B$4,IF(B111=informatieblad!$A$5,informatieblad!$B$5,"")))))))</f>
        <v/>
      </c>
      <c r="AY112" s="276">
        <f>IF(AX112=AY110,(4*C112),0)</f>
        <v>0</v>
      </c>
      <c r="AZ112" s="274">
        <f>IF(AX112=AZ110,(4*C112),0)</f>
        <v>0</v>
      </c>
    </row>
    <row r="113" spans="1:52" ht="5.0999999999999996" customHeight="1" thickBot="1">
      <c r="A113" s="231"/>
      <c r="B113" s="232"/>
      <c r="C113" s="232"/>
      <c r="D113" s="232"/>
      <c r="E113" s="232"/>
      <c r="F113" s="232"/>
      <c r="G113" s="232"/>
      <c r="H113" s="232"/>
      <c r="I113" s="233"/>
      <c r="J113" s="64"/>
    </row>
    <row r="114" spans="1:52" ht="15.75" thickBot="1">
      <c r="A114" s="494"/>
      <c r="B114" s="234"/>
      <c r="C114" s="234"/>
      <c r="D114" s="220">
        <f>(B114&gt;0)*$I$8</f>
        <v>0</v>
      </c>
      <c r="E114" s="221"/>
      <c r="F114" s="221"/>
      <c r="G114" s="221"/>
      <c r="H114" s="221"/>
      <c r="I114" s="222"/>
      <c r="J114" s="345" t="s">
        <v>20</v>
      </c>
      <c r="T114" s="97" t="s">
        <v>14</v>
      </c>
      <c r="U114" s="98" t="s">
        <v>27</v>
      </c>
      <c r="V114" s="98" t="s">
        <v>28</v>
      </c>
      <c r="W114" s="98" t="s">
        <v>27</v>
      </c>
      <c r="X114" s="98" t="s">
        <v>28</v>
      </c>
      <c r="Y114" s="98" t="s">
        <v>29</v>
      </c>
      <c r="Z114" s="66" t="s">
        <v>30</v>
      </c>
      <c r="AA114" s="153" t="s">
        <v>31</v>
      </c>
      <c r="AB114" s="153"/>
      <c r="AC114" s="153"/>
      <c r="AD114" s="154" t="s">
        <v>83</v>
      </c>
      <c r="AE114" s="100" t="s">
        <v>83</v>
      </c>
      <c r="AF114" s="100" t="s">
        <v>83</v>
      </c>
      <c r="AG114" s="100" t="s">
        <v>33</v>
      </c>
      <c r="AH114" s="100" t="s">
        <v>34</v>
      </c>
      <c r="AI114" s="98" t="s">
        <v>32</v>
      </c>
      <c r="AJ114" s="98" t="s">
        <v>32</v>
      </c>
      <c r="AK114" s="98" t="s">
        <v>49</v>
      </c>
      <c r="AL114" s="101" t="s">
        <v>36</v>
      </c>
      <c r="AO114" s="97" t="str">
        <f>informatieblad!$A$6</f>
        <v>FL20</v>
      </c>
      <c r="AP114" s="97" t="str">
        <f>informatieblad!$A$7</f>
        <v>FL30</v>
      </c>
      <c r="AQ114" s="99" t="str">
        <f>informatieblad!$A$8</f>
        <v>FL40</v>
      </c>
      <c r="AR114" s="266" t="str">
        <f>informatieblad!$A$5</f>
        <v>none</v>
      </c>
      <c r="AS114" s="64"/>
      <c r="AT114" s="266"/>
      <c r="AU114" s="64"/>
      <c r="AV114" s="266" t="s">
        <v>37</v>
      </c>
      <c r="AW114" s="64"/>
      <c r="AX114" s="269" t="s">
        <v>38</v>
      </c>
      <c r="AY114" s="272">
        <f>informatieblad!$B$3</f>
        <v>0</v>
      </c>
      <c r="AZ114" s="264">
        <f>informatieblad!$B$4</f>
        <v>0</v>
      </c>
    </row>
    <row r="115" spans="1:52">
      <c r="A115" s="475"/>
      <c r="B115" s="502" t="str">
        <f>IF($C116&gt;0,IF(MAX(B114,C114)&lt;informatieblad!$Q$4,informatieblad!$P$3,IF(MAX(B114,C114)&gt;informatieblad!$R$4,informatieblad!$P$5,informatieblad!$P$4)),"")</f>
        <v/>
      </c>
      <c r="C115" s="503"/>
      <c r="D115" s="223"/>
      <c r="E115" s="223"/>
      <c r="F115" s="224" t="str">
        <f>A114&amp;"-"&amp;informatieblad!$B$19&amp;"-"&amp;B114&amp;"-"&amp;C114&amp;"-"&amp;D114&amp;"-"&amp;B115&amp;"-"&amp;F116</f>
        <v>-RctS---0--Options None</v>
      </c>
      <c r="G115" s="235"/>
      <c r="H115" s="235"/>
      <c r="I115" s="236"/>
      <c r="J115" s="83"/>
      <c r="T115" s="103">
        <f>A114</f>
        <v>0</v>
      </c>
      <c r="U115" s="104" t="s">
        <v>39</v>
      </c>
      <c r="V115" s="104" t="s">
        <v>39</v>
      </c>
      <c r="W115" s="104" t="s">
        <v>40</v>
      </c>
      <c r="X115" s="104" t="s">
        <v>40</v>
      </c>
      <c r="Y115" s="104" t="s">
        <v>40</v>
      </c>
      <c r="Z115" s="105"/>
      <c r="AA115" s="155" t="s">
        <v>27</v>
      </c>
      <c r="AB115" s="155" t="s">
        <v>40</v>
      </c>
      <c r="AC115" s="155" t="s">
        <v>41</v>
      </c>
      <c r="AD115" s="156" t="s">
        <v>107</v>
      </c>
      <c r="AE115" s="104" t="s">
        <v>108</v>
      </c>
      <c r="AF115" s="107" t="s">
        <v>91</v>
      </c>
      <c r="AG115" s="107" t="s">
        <v>44</v>
      </c>
      <c r="AH115" s="107"/>
      <c r="AI115" s="104" t="s">
        <v>40</v>
      </c>
      <c r="AJ115" s="104" t="s">
        <v>41</v>
      </c>
      <c r="AK115" s="108"/>
      <c r="AL115" s="109"/>
      <c r="AO115" s="262" t="str">
        <f>informatieblad!$A$2</f>
        <v>FL20 loose</v>
      </c>
      <c r="AP115" s="262" t="str">
        <f>informatieblad!$A$3</f>
        <v>FL30 loose</v>
      </c>
      <c r="AQ115" s="263" t="str">
        <f>informatieblad!$A$4</f>
        <v>FL40 loose</v>
      </c>
      <c r="AR115" s="282"/>
      <c r="AS115" s="64"/>
      <c r="AT115" s="267"/>
      <c r="AU115" s="64"/>
      <c r="AV115" s="267"/>
      <c r="AW115" s="64"/>
      <c r="AX115" s="265" t="s">
        <v>47</v>
      </c>
      <c r="AY115" s="83" t="s">
        <v>23</v>
      </c>
      <c r="AZ115" s="273" t="s">
        <v>23</v>
      </c>
    </row>
    <row r="116" spans="1:52" ht="15.75" thickBot="1">
      <c r="A116" s="495"/>
      <c r="B116" s="227" t="s">
        <v>23</v>
      </c>
      <c r="C116" s="237"/>
      <c r="D116" s="229">
        <f>C116*V116</f>
        <v>0</v>
      </c>
      <c r="E116" s="230" t="s">
        <v>24</v>
      </c>
      <c r="F116" s="498" t="s">
        <v>25</v>
      </c>
      <c r="G116" s="452"/>
      <c r="H116" s="452"/>
      <c r="I116" s="453"/>
      <c r="J116" s="176"/>
      <c r="T116" s="111"/>
      <c r="U116" s="112">
        <f>(((2*(B114+C114))*(D114+25)))/1000000</f>
        <v>0</v>
      </c>
      <c r="V116" s="112">
        <f>((IF(U116&lt;=informatieblad!$I$19,informatieblad!$I$19,IF(U116&gt;=informatieblad!$I$19,U116))))</f>
        <v>0.5</v>
      </c>
      <c r="W116" s="112">
        <f>(((2*(B114+C114))*(D114+25)))/1000000</f>
        <v>0</v>
      </c>
      <c r="X116" s="112">
        <f>((IF(W116&lt;=informatieblad!$H$19,informatieblad!$H$19,IF(W116&gt;=informatieblad!$H$19,W116))))</f>
        <v>0</v>
      </c>
      <c r="Y116" s="113">
        <f>((X116*AI116)+(X116*AB116))*C116</f>
        <v>0</v>
      </c>
      <c r="Z116" s="114">
        <f>((V116*AJ116)+(V116*AC116))*C116</f>
        <v>0</v>
      </c>
      <c r="AA116" s="115" t="str">
        <f>F116</f>
        <v>Options None</v>
      </c>
      <c r="AB116" s="115">
        <f>VLOOKUP(F116,informatieblad!$A$37:$D$41,2,FALSE)</f>
        <v>0</v>
      </c>
      <c r="AC116" s="115">
        <f>VLOOKUP(F116,informatieblad!$A$37:$D$41,4,FALSE)</f>
        <v>0</v>
      </c>
      <c r="AD116" s="180">
        <f>(MAX(K114,L114))</f>
        <v>0</v>
      </c>
      <c r="AE116" s="119">
        <f>(MAX(M114,N114))</f>
        <v>0</v>
      </c>
      <c r="AF116" s="119">
        <f>(MAX(K114,M114))</f>
        <v>0</v>
      </c>
      <c r="AG116" s="119">
        <f>(MAX(B114:C114))</f>
        <v>0</v>
      </c>
      <c r="AH116" s="119">
        <f>LOOKUP(AG116,informatieblad!$C$27:$C$32,informatieblad!$A$27:$A$32)</f>
        <v>0.5</v>
      </c>
      <c r="AI116" s="118">
        <f>VLOOKUP(AH116,informatieblad!$A$27:$M$32,6,FALSE)</f>
        <v>0</v>
      </c>
      <c r="AJ116" s="118">
        <f>VLOOKUP(AH116,informatieblad!$A$27:$M$32,8,FALSE)</f>
        <v>45.1248</v>
      </c>
      <c r="AK116" s="120">
        <f>VLOOKUP(AH116,informatieblad!$A$27:$M$32,13,FALSE)</f>
        <v>4</v>
      </c>
      <c r="AL116" s="121">
        <f>ROUND((AK116*W116),1)</f>
        <v>0</v>
      </c>
      <c r="AO116" s="111">
        <f>(IF(B115=AO114,((2*B114)+(2*C114)),IF(B115=AO115,((2*B114)+(2*C114)),0)))*C116</f>
        <v>0</v>
      </c>
      <c r="AP116" s="111">
        <f>(IF(B115=AP114,((2*B114)+(2*C114)),IF(B115=AP115,((2*B114)+(2*C114)),0)))*C116</f>
        <v>0</v>
      </c>
      <c r="AQ116" s="261">
        <f>(IF(B115=AQ114,((2*B114)+(2*C114)),IF(B115=AQ115,((2*B114)+(2*C114)),0)))*C116</f>
        <v>0</v>
      </c>
      <c r="AR116" s="283">
        <f>(IF(B115=AR114,((2*B114)+(2*C114)),0))*C116</f>
        <v>0</v>
      </c>
      <c r="AS116" s="64"/>
      <c r="AT116" s="268"/>
      <c r="AU116" s="64"/>
      <c r="AV116" s="268">
        <f>(AG116+100)*C116</f>
        <v>0</v>
      </c>
      <c r="AW116" s="64"/>
      <c r="AX116" s="111" t="str">
        <f>IF(B115=informatieblad!$A$6,informatieblad!$B$6,IF(B115=informatieblad!$A$7,informatieblad!$B$7,IF(B115=informatieblad!$A$8,informatieblad!$B$8,IF(B115=informatieblad!$A$2,informatieblad!$B$2,IF(B115=informatieblad!$A$3,informatieblad!$B$3,IF(B115=informatieblad!$A$4,informatieblad!$B$4,IF(B115=informatieblad!$A$5,informatieblad!$B$5,"")))))))</f>
        <v/>
      </c>
      <c r="AY116" s="276">
        <f>IF(AX116=AY114,(4*C116),0)</f>
        <v>0</v>
      </c>
      <c r="AZ116" s="274">
        <f>IF(AX116=AZ114,(4*C116),0)</f>
        <v>0</v>
      </c>
    </row>
    <row r="117" spans="1:52" ht="5.0999999999999996" customHeight="1" thickBot="1">
      <c r="A117" s="231"/>
      <c r="B117" s="232"/>
      <c r="C117" s="232"/>
      <c r="D117" s="232"/>
      <c r="E117" s="232"/>
      <c r="F117" s="232"/>
      <c r="G117" s="232"/>
      <c r="H117" s="232"/>
      <c r="I117" s="233"/>
      <c r="J117" s="64"/>
    </row>
    <row r="118" spans="1:52" ht="15.75" thickBot="1">
      <c r="A118" s="494"/>
      <c r="B118" s="234"/>
      <c r="C118" s="234"/>
      <c r="D118" s="220">
        <f>(B118&gt;0)*$I$8</f>
        <v>0</v>
      </c>
      <c r="E118" s="221"/>
      <c r="F118" s="221"/>
      <c r="G118" s="221"/>
      <c r="H118" s="221"/>
      <c r="I118" s="222"/>
      <c r="J118" s="345" t="s">
        <v>20</v>
      </c>
      <c r="T118" s="97" t="s">
        <v>14</v>
      </c>
      <c r="U118" s="98" t="s">
        <v>27</v>
      </c>
      <c r="V118" s="98" t="s">
        <v>28</v>
      </c>
      <c r="W118" s="98" t="s">
        <v>27</v>
      </c>
      <c r="X118" s="98" t="s">
        <v>28</v>
      </c>
      <c r="Y118" s="98" t="s">
        <v>29</v>
      </c>
      <c r="Z118" s="66" t="s">
        <v>30</v>
      </c>
      <c r="AA118" s="153" t="s">
        <v>31</v>
      </c>
      <c r="AB118" s="153"/>
      <c r="AC118" s="153"/>
      <c r="AD118" s="154" t="s">
        <v>83</v>
      </c>
      <c r="AE118" s="100" t="s">
        <v>83</v>
      </c>
      <c r="AF118" s="100" t="s">
        <v>83</v>
      </c>
      <c r="AG118" s="100" t="s">
        <v>33</v>
      </c>
      <c r="AH118" s="100" t="s">
        <v>34</v>
      </c>
      <c r="AI118" s="98" t="s">
        <v>32</v>
      </c>
      <c r="AJ118" s="98" t="s">
        <v>32</v>
      </c>
      <c r="AK118" s="98" t="s">
        <v>50</v>
      </c>
      <c r="AL118" s="101" t="s">
        <v>36</v>
      </c>
      <c r="AO118" s="97" t="str">
        <f>informatieblad!$A$6</f>
        <v>FL20</v>
      </c>
      <c r="AP118" s="97" t="str">
        <f>informatieblad!$A$7</f>
        <v>FL30</v>
      </c>
      <c r="AQ118" s="99" t="str">
        <f>informatieblad!$A$8</f>
        <v>FL40</v>
      </c>
      <c r="AR118" s="266" t="str">
        <f>informatieblad!$A$5</f>
        <v>none</v>
      </c>
      <c r="AS118" s="64"/>
      <c r="AT118" s="266"/>
      <c r="AU118" s="64"/>
      <c r="AV118" s="266" t="s">
        <v>37</v>
      </c>
      <c r="AW118" s="64"/>
      <c r="AX118" s="269" t="s">
        <v>38</v>
      </c>
      <c r="AY118" s="272">
        <f>informatieblad!$B$3</f>
        <v>0</v>
      </c>
      <c r="AZ118" s="264">
        <f>informatieblad!$B$4</f>
        <v>0</v>
      </c>
    </row>
    <row r="119" spans="1:52">
      <c r="A119" s="475"/>
      <c r="B119" s="502" t="str">
        <f>IF($C120&gt;0,IF(MAX(B118,C118)&lt;informatieblad!$Q$4,informatieblad!$P$3,IF(MAX(B118,C118)&gt;informatieblad!$R$4,informatieblad!$P$5,informatieblad!$P$4)),"")</f>
        <v/>
      </c>
      <c r="C119" s="503"/>
      <c r="D119" s="223"/>
      <c r="E119" s="223"/>
      <c r="F119" s="224" t="str">
        <f>A118&amp;"-"&amp;informatieblad!$B$19&amp;"-"&amp;B118&amp;"-"&amp;C118&amp;"-"&amp;D118&amp;"-"&amp;B119&amp;"-"&amp;F120</f>
        <v>-RctS---0--Options None</v>
      </c>
      <c r="G119" s="235"/>
      <c r="H119" s="235"/>
      <c r="I119" s="236"/>
      <c r="J119" s="83"/>
      <c r="T119" s="103">
        <f>A118</f>
        <v>0</v>
      </c>
      <c r="U119" s="104" t="s">
        <v>39</v>
      </c>
      <c r="V119" s="104" t="s">
        <v>39</v>
      </c>
      <c r="W119" s="104" t="s">
        <v>40</v>
      </c>
      <c r="X119" s="104" t="s">
        <v>40</v>
      </c>
      <c r="Y119" s="104" t="s">
        <v>40</v>
      </c>
      <c r="Z119" s="105"/>
      <c r="AA119" s="155" t="s">
        <v>27</v>
      </c>
      <c r="AB119" s="155" t="s">
        <v>40</v>
      </c>
      <c r="AC119" s="155" t="s">
        <v>41</v>
      </c>
      <c r="AD119" s="156" t="s">
        <v>109</v>
      </c>
      <c r="AE119" s="104" t="s">
        <v>110</v>
      </c>
      <c r="AF119" s="107" t="s">
        <v>95</v>
      </c>
      <c r="AG119" s="107" t="s">
        <v>44</v>
      </c>
      <c r="AH119" s="107"/>
      <c r="AI119" s="104" t="s">
        <v>40</v>
      </c>
      <c r="AJ119" s="104" t="s">
        <v>41</v>
      </c>
      <c r="AK119" s="108"/>
      <c r="AL119" s="109"/>
      <c r="AO119" s="262" t="str">
        <f>informatieblad!$A$2</f>
        <v>FL20 loose</v>
      </c>
      <c r="AP119" s="262" t="str">
        <f>informatieblad!$A$3</f>
        <v>FL30 loose</v>
      </c>
      <c r="AQ119" s="263" t="str">
        <f>informatieblad!$A$4</f>
        <v>FL40 loose</v>
      </c>
      <c r="AR119" s="282"/>
      <c r="AS119" s="64"/>
      <c r="AT119" s="267"/>
      <c r="AU119" s="64"/>
      <c r="AV119" s="267"/>
      <c r="AW119" s="64"/>
      <c r="AX119" s="265" t="s">
        <v>47</v>
      </c>
      <c r="AY119" s="83" t="s">
        <v>23</v>
      </c>
      <c r="AZ119" s="273" t="s">
        <v>23</v>
      </c>
    </row>
    <row r="120" spans="1:52" ht="15.75" thickBot="1">
      <c r="A120" s="495"/>
      <c r="B120" s="227" t="s">
        <v>23</v>
      </c>
      <c r="C120" s="237"/>
      <c r="D120" s="229">
        <f>C120*V120</f>
        <v>0</v>
      </c>
      <c r="E120" s="230" t="s">
        <v>24</v>
      </c>
      <c r="F120" s="498" t="s">
        <v>25</v>
      </c>
      <c r="G120" s="452"/>
      <c r="H120" s="452"/>
      <c r="I120" s="453"/>
      <c r="J120" s="176"/>
      <c r="T120" s="111"/>
      <c r="U120" s="112">
        <f>(((2*(B118+C118))*(D118+25)))/1000000</f>
        <v>0</v>
      </c>
      <c r="V120" s="112">
        <f>((IF(U120&lt;=informatieblad!$I$19,informatieblad!$I$19,IF(U120&gt;=informatieblad!$I$19,U120))))</f>
        <v>0.5</v>
      </c>
      <c r="W120" s="112">
        <f>(((2*(B118+C118))*(D118+25)))/1000000</f>
        <v>0</v>
      </c>
      <c r="X120" s="112">
        <f>((IF(W120&lt;=informatieblad!$H$19,informatieblad!$H$19,IF(W120&gt;=informatieblad!$H$19,W120))))</f>
        <v>0</v>
      </c>
      <c r="Y120" s="113">
        <f>((X120*AI120)+(X120*AB120))*C120</f>
        <v>0</v>
      </c>
      <c r="Z120" s="114">
        <f>((V120*AJ120)+(V120*AC120))*C120</f>
        <v>0</v>
      </c>
      <c r="AA120" s="115" t="str">
        <f>F120</f>
        <v>Options None</v>
      </c>
      <c r="AB120" s="115">
        <f>VLOOKUP(F120,informatieblad!$A$37:$D$41,2,FALSE)</f>
        <v>0</v>
      </c>
      <c r="AC120" s="115">
        <f>VLOOKUP(F120,informatieblad!$A$37:$D$41,4,FALSE)</f>
        <v>0</v>
      </c>
      <c r="AD120" s="180">
        <f>(MAX(K118,L118))</f>
        <v>0</v>
      </c>
      <c r="AE120" s="119">
        <f>(MAX(M118,N118))</f>
        <v>0</v>
      </c>
      <c r="AF120" s="119">
        <f>(MAX(K118,M118))</f>
        <v>0</v>
      </c>
      <c r="AG120" s="119">
        <f>(MAX(B118:C118))</f>
        <v>0</v>
      </c>
      <c r="AH120" s="119">
        <f>LOOKUP(AG120,informatieblad!$C$27:$C$32,informatieblad!$A$27:$A$32)</f>
        <v>0.5</v>
      </c>
      <c r="AI120" s="118">
        <f>VLOOKUP(AH120,informatieblad!$A$27:$M$32,6,FALSE)</f>
        <v>0</v>
      </c>
      <c r="AJ120" s="118">
        <f>VLOOKUP(AH120,informatieblad!$A$27:$M$32,8,FALSE)</f>
        <v>45.1248</v>
      </c>
      <c r="AK120" s="120">
        <f>VLOOKUP(AH120,informatieblad!$A$27:$M$32,13,FALSE)</f>
        <v>4</v>
      </c>
      <c r="AL120" s="121">
        <f>ROUND((AK120*W120),1)</f>
        <v>0</v>
      </c>
      <c r="AO120" s="111">
        <f>(IF(B119=AO118,((2*B118)+(2*C118)),IF(B119=AO119,((2*B118)+(2*C118)),0)))*C120</f>
        <v>0</v>
      </c>
      <c r="AP120" s="111">
        <f>(IF(B119=AP118,((2*B118)+(2*C118)),IF(B119=AP119,((2*B118)+(2*C118)),0)))*C120</f>
        <v>0</v>
      </c>
      <c r="AQ120" s="261">
        <f>(IF(B119=AQ118,((2*B118)+(2*C118)),IF(B119=AQ119,((2*B118)+(2*C118)),0)))*C120</f>
        <v>0</v>
      </c>
      <c r="AR120" s="283">
        <f>(IF(B119=AR118,((2*B118)+(2*C118)),0))*C120</f>
        <v>0</v>
      </c>
      <c r="AS120" s="64"/>
      <c r="AT120" s="268"/>
      <c r="AU120" s="64"/>
      <c r="AV120" s="268">
        <f>(AG120+100)*C120</f>
        <v>0</v>
      </c>
      <c r="AW120" s="64"/>
      <c r="AX120" s="111" t="str">
        <f>IF(B119=informatieblad!$A$6,informatieblad!$B$6,IF(B119=informatieblad!$A$7,informatieblad!$B$7,IF(B119=informatieblad!$A$8,informatieblad!$B$8,IF(B119=informatieblad!$A$2,informatieblad!$B$2,IF(B119=informatieblad!$A$3,informatieblad!$B$3,IF(B119=informatieblad!$A$4,informatieblad!$B$4,IF(B119=informatieblad!$A$5,informatieblad!$B$5,"")))))))</f>
        <v/>
      </c>
      <c r="AY120" s="276">
        <f>IF(AX120=AY118,(4*C120),0)</f>
        <v>0</v>
      </c>
      <c r="AZ120" s="274">
        <f>IF(AX120=AZ118,(4*C120),0)</f>
        <v>0</v>
      </c>
    </row>
    <row r="121" spans="1:52" ht="5.0999999999999996" customHeight="1" thickBot="1">
      <c r="A121" s="231"/>
      <c r="B121" s="232"/>
      <c r="C121" s="232"/>
      <c r="D121" s="232"/>
      <c r="E121" s="232"/>
      <c r="F121" s="232"/>
      <c r="G121" s="232"/>
      <c r="H121" s="232"/>
      <c r="I121" s="233"/>
      <c r="J121" s="64"/>
    </row>
    <row r="122" spans="1:52" ht="15.75" thickBot="1">
      <c r="A122" s="494"/>
      <c r="B122" s="234"/>
      <c r="C122" s="234"/>
      <c r="D122" s="220">
        <f>(B122&gt;0)*$I$8</f>
        <v>0</v>
      </c>
      <c r="E122" s="221"/>
      <c r="F122" s="221"/>
      <c r="G122" s="221"/>
      <c r="H122" s="221"/>
      <c r="I122" s="222"/>
      <c r="J122" s="345" t="s">
        <v>20</v>
      </c>
      <c r="T122" s="97" t="s">
        <v>14</v>
      </c>
      <c r="U122" s="98" t="s">
        <v>27</v>
      </c>
      <c r="V122" s="98" t="s">
        <v>28</v>
      </c>
      <c r="W122" s="98" t="s">
        <v>27</v>
      </c>
      <c r="X122" s="98" t="s">
        <v>28</v>
      </c>
      <c r="Y122" s="98" t="s">
        <v>29</v>
      </c>
      <c r="Z122" s="66" t="s">
        <v>30</v>
      </c>
      <c r="AA122" s="153" t="s">
        <v>31</v>
      </c>
      <c r="AB122" s="153"/>
      <c r="AC122" s="153"/>
      <c r="AD122" s="154" t="s">
        <v>83</v>
      </c>
      <c r="AE122" s="100" t="s">
        <v>83</v>
      </c>
      <c r="AF122" s="100" t="s">
        <v>83</v>
      </c>
      <c r="AG122" s="100" t="s">
        <v>33</v>
      </c>
      <c r="AH122" s="100" t="s">
        <v>34</v>
      </c>
      <c r="AI122" s="98" t="s">
        <v>32</v>
      </c>
      <c r="AJ122" s="98" t="s">
        <v>32</v>
      </c>
      <c r="AK122" s="98" t="s">
        <v>50</v>
      </c>
      <c r="AL122" s="101" t="s">
        <v>36</v>
      </c>
      <c r="AO122" s="97" t="str">
        <f>informatieblad!$A$6</f>
        <v>FL20</v>
      </c>
      <c r="AP122" s="97" t="str">
        <f>informatieblad!$A$7</f>
        <v>FL30</v>
      </c>
      <c r="AQ122" s="99" t="str">
        <f>informatieblad!$A$8</f>
        <v>FL40</v>
      </c>
      <c r="AR122" s="266" t="str">
        <f>informatieblad!$A$5</f>
        <v>none</v>
      </c>
      <c r="AS122" s="64"/>
      <c r="AT122" s="266"/>
      <c r="AU122" s="64"/>
      <c r="AV122" s="266" t="s">
        <v>37</v>
      </c>
      <c r="AW122" s="64"/>
      <c r="AX122" s="269" t="s">
        <v>38</v>
      </c>
      <c r="AY122" s="272">
        <f>informatieblad!$B$3</f>
        <v>0</v>
      </c>
      <c r="AZ122" s="264">
        <f>informatieblad!$B$4</f>
        <v>0</v>
      </c>
    </row>
    <row r="123" spans="1:52">
      <c r="A123" s="475"/>
      <c r="B123" s="502" t="str">
        <f>IF($C124&gt;0,IF(MAX(B122,C122)&lt;informatieblad!$Q$4,informatieblad!$P$3,IF(MAX(B122,C122)&gt;informatieblad!$R$4,informatieblad!$P$5,informatieblad!$P$4)),"")</f>
        <v/>
      </c>
      <c r="C123" s="503"/>
      <c r="D123" s="223"/>
      <c r="E123" s="223"/>
      <c r="F123" s="224" t="str">
        <f>A122&amp;"-"&amp;informatieblad!$B$19&amp;"-"&amp;B122&amp;"-"&amp;C122&amp;"-"&amp;D122&amp;"-"&amp;B123&amp;"-"&amp;F124</f>
        <v>-RctS---0--Options None</v>
      </c>
      <c r="G123" s="235"/>
      <c r="H123" s="235"/>
      <c r="I123" s="236"/>
      <c r="J123" s="83"/>
      <c r="T123" s="103">
        <f>A122</f>
        <v>0</v>
      </c>
      <c r="U123" s="104" t="s">
        <v>39</v>
      </c>
      <c r="V123" s="104" t="s">
        <v>39</v>
      </c>
      <c r="W123" s="104" t="s">
        <v>40</v>
      </c>
      <c r="X123" s="104" t="s">
        <v>40</v>
      </c>
      <c r="Y123" s="104" t="s">
        <v>40</v>
      </c>
      <c r="Z123" s="105"/>
      <c r="AA123" s="155" t="s">
        <v>27</v>
      </c>
      <c r="AB123" s="155" t="s">
        <v>40</v>
      </c>
      <c r="AC123" s="155" t="s">
        <v>41</v>
      </c>
      <c r="AD123" s="156" t="s">
        <v>109</v>
      </c>
      <c r="AE123" s="104" t="s">
        <v>110</v>
      </c>
      <c r="AF123" s="107" t="s">
        <v>95</v>
      </c>
      <c r="AG123" s="107" t="s">
        <v>44</v>
      </c>
      <c r="AH123" s="107"/>
      <c r="AI123" s="104" t="s">
        <v>40</v>
      </c>
      <c r="AJ123" s="104" t="s">
        <v>41</v>
      </c>
      <c r="AK123" s="108"/>
      <c r="AL123" s="109"/>
      <c r="AO123" s="262" t="str">
        <f>informatieblad!$A$2</f>
        <v>FL20 loose</v>
      </c>
      <c r="AP123" s="262" t="str">
        <f>informatieblad!$A$3</f>
        <v>FL30 loose</v>
      </c>
      <c r="AQ123" s="263" t="str">
        <f>informatieblad!$A$4</f>
        <v>FL40 loose</v>
      </c>
      <c r="AR123" s="282"/>
      <c r="AS123" s="64"/>
      <c r="AT123" s="267"/>
      <c r="AU123" s="64"/>
      <c r="AV123" s="267"/>
      <c r="AW123" s="64"/>
      <c r="AX123" s="265" t="s">
        <v>47</v>
      </c>
      <c r="AY123" s="83" t="s">
        <v>23</v>
      </c>
      <c r="AZ123" s="273" t="s">
        <v>23</v>
      </c>
    </row>
    <row r="124" spans="1:52" ht="15.75" thickBot="1">
      <c r="A124" s="495"/>
      <c r="B124" s="227" t="s">
        <v>23</v>
      </c>
      <c r="C124" s="237"/>
      <c r="D124" s="229">
        <f>C124*V124</f>
        <v>0</v>
      </c>
      <c r="E124" s="230" t="s">
        <v>24</v>
      </c>
      <c r="F124" s="498" t="s">
        <v>25</v>
      </c>
      <c r="G124" s="452"/>
      <c r="H124" s="452"/>
      <c r="I124" s="453"/>
      <c r="J124" s="176"/>
      <c r="T124" s="111"/>
      <c r="U124" s="112">
        <f>(((2*(B122+C122))*(D122+25)))/1000000</f>
        <v>0</v>
      </c>
      <c r="V124" s="112">
        <f>((IF(U124&lt;=informatieblad!$I$19,informatieblad!$I$19,IF(U124&gt;=informatieblad!$I$19,U124))))</f>
        <v>0.5</v>
      </c>
      <c r="W124" s="112">
        <f>(((2*(B122+C122))*(D122+25)))/1000000</f>
        <v>0</v>
      </c>
      <c r="X124" s="112">
        <f>((IF(W124&lt;=informatieblad!$H$19,informatieblad!$H$19,IF(W124&gt;=informatieblad!$H$19,W124))))</f>
        <v>0</v>
      </c>
      <c r="Y124" s="113">
        <f>((X124*AI124)+(X124*AB124))*C124</f>
        <v>0</v>
      </c>
      <c r="Z124" s="114">
        <f>((V124*AJ124)+(V124*AC124))*C124</f>
        <v>0</v>
      </c>
      <c r="AA124" s="115" t="str">
        <f>F124</f>
        <v>Options None</v>
      </c>
      <c r="AB124" s="115">
        <f>VLOOKUP(F124,informatieblad!$A$37:$D$41,2,FALSE)</f>
        <v>0</v>
      </c>
      <c r="AC124" s="115">
        <f>VLOOKUP(F124,informatieblad!$A$37:$D$41,4,FALSE)</f>
        <v>0</v>
      </c>
      <c r="AD124" s="180">
        <f>(MAX(K122,L122))</f>
        <v>0</v>
      </c>
      <c r="AE124" s="119">
        <f>(MAX(M122,N122))</f>
        <v>0</v>
      </c>
      <c r="AF124" s="119">
        <f>(MAX(K122,M122))</f>
        <v>0</v>
      </c>
      <c r="AG124" s="119">
        <f>(MAX(B122:C122))</f>
        <v>0</v>
      </c>
      <c r="AH124" s="119">
        <f>LOOKUP(AG124,informatieblad!$C$27:$C$32,informatieblad!$A$27:$A$32)</f>
        <v>0.5</v>
      </c>
      <c r="AI124" s="118">
        <f>VLOOKUP(AH124,informatieblad!$A$27:$M$32,6,FALSE)</f>
        <v>0</v>
      </c>
      <c r="AJ124" s="118">
        <f>VLOOKUP(AH124,informatieblad!$A$27:$M$32,8,FALSE)</f>
        <v>45.1248</v>
      </c>
      <c r="AK124" s="120">
        <f>VLOOKUP(AH124,informatieblad!$A$27:$M$32,13,FALSE)</f>
        <v>4</v>
      </c>
      <c r="AL124" s="121">
        <f>ROUND((AK124*W124),1)</f>
        <v>0</v>
      </c>
      <c r="AO124" s="111">
        <f>(IF(B123=AO122,((2*B122)+(2*C122)),IF(B123=AO123,((2*B122)+(2*C122)),0)))*C124</f>
        <v>0</v>
      </c>
      <c r="AP124" s="111">
        <f>(IF(B123=AP122,((2*B122)+(2*C122)),IF(B123=AP123,((2*B122)+(2*C122)),0)))*C124</f>
        <v>0</v>
      </c>
      <c r="AQ124" s="261">
        <f>(IF(B123=AQ122,((2*B122)+(2*C122)),IF(B123=AQ123,((2*B122)+(2*C122)),0)))*C124</f>
        <v>0</v>
      </c>
      <c r="AR124" s="283">
        <f>(IF(B123=AR122,((2*B122)+(2*C122)),0))*C124</f>
        <v>0</v>
      </c>
      <c r="AS124" s="64"/>
      <c r="AT124" s="268"/>
      <c r="AU124" s="64"/>
      <c r="AV124" s="268">
        <f>(AG124+100)*C124</f>
        <v>0</v>
      </c>
      <c r="AW124" s="64"/>
      <c r="AX124" s="111" t="str">
        <f>IF(B123=informatieblad!$A$6,informatieblad!$B$6,IF(B123=informatieblad!$A$7,informatieblad!$B$7,IF(B123=informatieblad!$A$8,informatieblad!$B$8,IF(B123=informatieblad!$A$2,informatieblad!$B$2,IF(B123=informatieblad!$A$3,informatieblad!$B$3,IF(B123=informatieblad!$A$4,informatieblad!$B$4,IF(B123=informatieblad!$A$5,informatieblad!$B$5,"")))))))</f>
        <v/>
      </c>
      <c r="AY124" s="276">
        <f>IF(AX124=AY122,(4*C124),0)</f>
        <v>0</v>
      </c>
      <c r="AZ124" s="274">
        <f>IF(AX124=AZ122,(4*C124),0)</f>
        <v>0</v>
      </c>
    </row>
    <row r="125" spans="1:52" ht="5.0999999999999996" customHeight="1" thickBot="1">
      <c r="A125" s="231"/>
      <c r="B125" s="232"/>
      <c r="C125" s="232"/>
      <c r="D125" s="232"/>
      <c r="E125" s="232"/>
      <c r="F125" s="232"/>
      <c r="G125" s="232"/>
      <c r="H125" s="232"/>
      <c r="I125" s="233"/>
      <c r="J125" s="64"/>
    </row>
    <row r="126" spans="1:52" ht="15.75" thickBot="1">
      <c r="A126" s="494"/>
      <c r="B126" s="234"/>
      <c r="C126" s="234"/>
      <c r="D126" s="220">
        <f>(B126&gt;0)*$I$8</f>
        <v>0</v>
      </c>
      <c r="E126" s="221"/>
      <c r="F126" s="221"/>
      <c r="G126" s="221"/>
      <c r="H126" s="221"/>
      <c r="I126" s="222"/>
      <c r="J126" s="345" t="s">
        <v>20</v>
      </c>
      <c r="T126" s="97" t="s">
        <v>14</v>
      </c>
      <c r="U126" s="98" t="s">
        <v>27</v>
      </c>
      <c r="V126" s="98" t="s">
        <v>28</v>
      </c>
      <c r="W126" s="98" t="s">
        <v>27</v>
      </c>
      <c r="X126" s="98" t="s">
        <v>28</v>
      </c>
      <c r="Y126" s="98" t="s">
        <v>29</v>
      </c>
      <c r="Z126" s="66" t="s">
        <v>30</v>
      </c>
      <c r="AA126" s="153" t="s">
        <v>31</v>
      </c>
      <c r="AB126" s="153"/>
      <c r="AC126" s="153"/>
      <c r="AD126" s="154" t="s">
        <v>83</v>
      </c>
      <c r="AE126" s="100" t="s">
        <v>83</v>
      </c>
      <c r="AF126" s="100" t="s">
        <v>83</v>
      </c>
      <c r="AG126" s="100" t="s">
        <v>33</v>
      </c>
      <c r="AH126" s="100" t="s">
        <v>34</v>
      </c>
      <c r="AI126" s="98" t="s">
        <v>32</v>
      </c>
      <c r="AJ126" s="98" t="s">
        <v>32</v>
      </c>
      <c r="AK126" s="98" t="s">
        <v>50</v>
      </c>
      <c r="AL126" s="101" t="s">
        <v>36</v>
      </c>
      <c r="AO126" s="97" t="str">
        <f>informatieblad!$A$6</f>
        <v>FL20</v>
      </c>
      <c r="AP126" s="97" t="str">
        <f>informatieblad!$A$7</f>
        <v>FL30</v>
      </c>
      <c r="AQ126" s="99" t="str">
        <f>informatieblad!$A$8</f>
        <v>FL40</v>
      </c>
      <c r="AR126" s="266" t="str">
        <f>informatieblad!$A$5</f>
        <v>none</v>
      </c>
      <c r="AS126" s="64"/>
      <c r="AT126" s="266"/>
      <c r="AU126" s="64"/>
      <c r="AV126" s="266" t="s">
        <v>37</v>
      </c>
      <c r="AW126" s="64"/>
      <c r="AX126" s="269" t="s">
        <v>38</v>
      </c>
      <c r="AY126" s="272">
        <f>informatieblad!$B$3</f>
        <v>0</v>
      </c>
      <c r="AZ126" s="264">
        <f>informatieblad!$B$4</f>
        <v>0</v>
      </c>
    </row>
    <row r="127" spans="1:52">
      <c r="A127" s="475"/>
      <c r="B127" s="502" t="str">
        <f>IF($C128&gt;0,IF(MAX(B126,C126)&lt;informatieblad!$Q$4,informatieblad!$P$3,IF(MAX(B126,C126)&gt;informatieblad!$R$4,informatieblad!$P$5,informatieblad!$P$4)),"")</f>
        <v/>
      </c>
      <c r="C127" s="503"/>
      <c r="D127" s="223"/>
      <c r="E127" s="223"/>
      <c r="F127" s="224" t="str">
        <f>A126&amp;"-"&amp;informatieblad!$B$19&amp;"-"&amp;B126&amp;"-"&amp;C126&amp;"-"&amp;D126&amp;"-"&amp;B127&amp;"-"&amp;F128</f>
        <v>-RctS---0--Options None</v>
      </c>
      <c r="G127" s="235"/>
      <c r="H127" s="235"/>
      <c r="I127" s="236"/>
      <c r="J127" s="83"/>
      <c r="T127" s="103">
        <f>A126</f>
        <v>0</v>
      </c>
      <c r="U127" s="104" t="s">
        <v>39</v>
      </c>
      <c r="V127" s="104" t="s">
        <v>39</v>
      </c>
      <c r="W127" s="104" t="s">
        <v>40</v>
      </c>
      <c r="X127" s="104" t="s">
        <v>40</v>
      </c>
      <c r="Y127" s="104" t="s">
        <v>40</v>
      </c>
      <c r="Z127" s="105"/>
      <c r="AA127" s="155" t="s">
        <v>27</v>
      </c>
      <c r="AB127" s="155" t="s">
        <v>40</v>
      </c>
      <c r="AC127" s="155" t="s">
        <v>41</v>
      </c>
      <c r="AD127" s="156" t="s">
        <v>109</v>
      </c>
      <c r="AE127" s="104" t="s">
        <v>110</v>
      </c>
      <c r="AF127" s="107" t="s">
        <v>95</v>
      </c>
      <c r="AG127" s="107" t="s">
        <v>44</v>
      </c>
      <c r="AH127" s="107"/>
      <c r="AI127" s="104" t="s">
        <v>40</v>
      </c>
      <c r="AJ127" s="104" t="s">
        <v>41</v>
      </c>
      <c r="AK127" s="108"/>
      <c r="AL127" s="109"/>
      <c r="AO127" s="262" t="str">
        <f>informatieblad!$A$2</f>
        <v>FL20 loose</v>
      </c>
      <c r="AP127" s="262" t="str">
        <f>informatieblad!$A$3</f>
        <v>FL30 loose</v>
      </c>
      <c r="AQ127" s="263" t="str">
        <f>informatieblad!$A$4</f>
        <v>FL40 loose</v>
      </c>
      <c r="AR127" s="282"/>
      <c r="AS127" s="64"/>
      <c r="AT127" s="267"/>
      <c r="AU127" s="64"/>
      <c r="AV127" s="267"/>
      <c r="AW127" s="64"/>
      <c r="AX127" s="265" t="s">
        <v>47</v>
      </c>
      <c r="AY127" s="83" t="s">
        <v>23</v>
      </c>
      <c r="AZ127" s="273" t="s">
        <v>23</v>
      </c>
    </row>
    <row r="128" spans="1:52" ht="15.75" thickBot="1">
      <c r="A128" s="495"/>
      <c r="B128" s="227" t="s">
        <v>23</v>
      </c>
      <c r="C128" s="237"/>
      <c r="D128" s="229">
        <f>C128*V128</f>
        <v>0</v>
      </c>
      <c r="E128" s="230" t="s">
        <v>24</v>
      </c>
      <c r="F128" s="498" t="s">
        <v>25</v>
      </c>
      <c r="G128" s="452"/>
      <c r="H128" s="452"/>
      <c r="I128" s="453"/>
      <c r="J128" s="176"/>
      <c r="T128" s="111"/>
      <c r="U128" s="112">
        <f>(((2*(B126+C126))*(D126+25)))/1000000</f>
        <v>0</v>
      </c>
      <c r="V128" s="112">
        <f>((IF(U128&lt;=informatieblad!$I$19,informatieblad!$I$19,IF(U128&gt;=informatieblad!$I$19,U128))))</f>
        <v>0.5</v>
      </c>
      <c r="W128" s="112">
        <f>(((2*(B126+C126))*(D126+25)))/1000000</f>
        <v>0</v>
      </c>
      <c r="X128" s="112">
        <f>((IF(W128&lt;=informatieblad!$H$19,informatieblad!$H$19,IF(W128&gt;=informatieblad!$H$19,W128))))</f>
        <v>0</v>
      </c>
      <c r="Y128" s="113">
        <f>((X128*AI128)+(X128*AB128))*C128</f>
        <v>0</v>
      </c>
      <c r="Z128" s="114">
        <f>((V128*AJ128)+(V128*AC128))*C128</f>
        <v>0</v>
      </c>
      <c r="AA128" s="115" t="str">
        <f>F128</f>
        <v>Options None</v>
      </c>
      <c r="AB128" s="115">
        <f>VLOOKUP(F128,informatieblad!$A$37:$D$41,2,FALSE)</f>
        <v>0</v>
      </c>
      <c r="AC128" s="115">
        <f>VLOOKUP(F128,informatieblad!$A$37:$D$41,4,FALSE)</f>
        <v>0</v>
      </c>
      <c r="AD128" s="180">
        <f>(MAX(K126,L126))</f>
        <v>0</v>
      </c>
      <c r="AE128" s="119">
        <f>(MAX(M126,N126))</f>
        <v>0</v>
      </c>
      <c r="AF128" s="119">
        <f>(MAX(K126,M126))</f>
        <v>0</v>
      </c>
      <c r="AG128" s="119">
        <f>(MAX(B126:C126))</f>
        <v>0</v>
      </c>
      <c r="AH128" s="119">
        <f>LOOKUP(AG128,informatieblad!$C$27:$C$32,informatieblad!$A$27:$A$32)</f>
        <v>0.5</v>
      </c>
      <c r="AI128" s="118">
        <f>VLOOKUP(AH128,informatieblad!$A$27:$M$32,6,FALSE)</f>
        <v>0</v>
      </c>
      <c r="AJ128" s="118">
        <f>VLOOKUP(AH128,informatieblad!$A$27:$M$32,8,FALSE)</f>
        <v>45.1248</v>
      </c>
      <c r="AK128" s="120">
        <f>VLOOKUP(AH128,informatieblad!$A$27:$M$32,13,FALSE)</f>
        <v>4</v>
      </c>
      <c r="AL128" s="121">
        <f>ROUND((AK128*W128),1)</f>
        <v>0</v>
      </c>
      <c r="AO128" s="111">
        <f>(IF(B127=AO126,((2*B126)+(2*C126)),IF(B127=AO127,((2*B126)+(2*C126)),0)))*C128</f>
        <v>0</v>
      </c>
      <c r="AP128" s="111">
        <f>(IF(B127=AP126,((2*B126)+(2*C126)),IF(B127=AP127,((2*B126)+(2*C126)),0)))*C128</f>
        <v>0</v>
      </c>
      <c r="AQ128" s="261">
        <f>(IF(B127=AQ126,((2*B126)+(2*C126)),IF(B127=AQ127,((2*B126)+(2*C126)),0)))*C128</f>
        <v>0</v>
      </c>
      <c r="AR128" s="283">
        <f>(IF(B127=AR126,((2*B126)+(2*C126)),0))*C128</f>
        <v>0</v>
      </c>
      <c r="AS128" s="64"/>
      <c r="AT128" s="268"/>
      <c r="AU128" s="64"/>
      <c r="AV128" s="268">
        <f>(AG128+100)*C128</f>
        <v>0</v>
      </c>
      <c r="AW128" s="64"/>
      <c r="AX128" s="111" t="str">
        <f>IF(B127=informatieblad!$A$6,informatieblad!$B$6,IF(B127=informatieblad!$A$7,informatieblad!$B$7,IF(B127=informatieblad!$A$8,informatieblad!$B$8,IF(B127=informatieblad!$A$2,informatieblad!$B$2,IF(B127=informatieblad!$A$3,informatieblad!$B$3,IF(B127=informatieblad!$A$4,informatieblad!$B$4,IF(B127=informatieblad!$A$5,informatieblad!$B$5,"")))))))</f>
        <v/>
      </c>
      <c r="AY128" s="276">
        <f>IF(AX128=AY126,(4*C128),0)</f>
        <v>0</v>
      </c>
      <c r="AZ128" s="274">
        <f>IF(AX128=AZ126,(4*C128),0)</f>
        <v>0</v>
      </c>
    </row>
    <row r="129" spans="1:52" ht="5.0999999999999996" customHeight="1" thickBot="1">
      <c r="A129" s="231"/>
      <c r="B129" s="232"/>
      <c r="C129" s="232"/>
      <c r="D129" s="232"/>
      <c r="E129" s="232"/>
      <c r="F129" s="232"/>
      <c r="G129" s="232"/>
      <c r="H129" s="232"/>
      <c r="I129" s="233"/>
      <c r="J129" s="64"/>
    </row>
    <row r="130" spans="1:52" ht="15.75" thickBot="1">
      <c r="A130" s="494"/>
      <c r="B130" s="234"/>
      <c r="C130" s="234"/>
      <c r="D130" s="220">
        <f>(B130&gt;0)*$I$8</f>
        <v>0</v>
      </c>
      <c r="E130" s="221"/>
      <c r="F130" s="221"/>
      <c r="G130" s="221"/>
      <c r="H130" s="221"/>
      <c r="I130" s="222"/>
      <c r="J130" s="345" t="s">
        <v>20</v>
      </c>
      <c r="T130" s="97" t="s">
        <v>14</v>
      </c>
      <c r="U130" s="98" t="s">
        <v>27</v>
      </c>
      <c r="V130" s="98" t="s">
        <v>28</v>
      </c>
      <c r="W130" s="98" t="s">
        <v>27</v>
      </c>
      <c r="X130" s="98" t="s">
        <v>28</v>
      </c>
      <c r="Y130" s="98" t="s">
        <v>29</v>
      </c>
      <c r="Z130" s="66" t="s">
        <v>30</v>
      </c>
      <c r="AA130" s="153" t="s">
        <v>31</v>
      </c>
      <c r="AB130" s="153"/>
      <c r="AC130" s="153"/>
      <c r="AD130" s="154" t="s">
        <v>83</v>
      </c>
      <c r="AE130" s="100" t="s">
        <v>83</v>
      </c>
      <c r="AF130" s="100" t="s">
        <v>83</v>
      </c>
      <c r="AG130" s="100" t="s">
        <v>33</v>
      </c>
      <c r="AH130" s="100" t="s">
        <v>34</v>
      </c>
      <c r="AI130" s="98" t="s">
        <v>32</v>
      </c>
      <c r="AJ130" s="98" t="s">
        <v>32</v>
      </c>
      <c r="AK130" s="98" t="s">
        <v>50</v>
      </c>
      <c r="AL130" s="101" t="s">
        <v>36</v>
      </c>
      <c r="AO130" s="97" t="str">
        <f>informatieblad!$A$6</f>
        <v>FL20</v>
      </c>
      <c r="AP130" s="97" t="str">
        <f>informatieblad!$A$7</f>
        <v>FL30</v>
      </c>
      <c r="AQ130" s="99" t="str">
        <f>informatieblad!$A$8</f>
        <v>FL40</v>
      </c>
      <c r="AR130" s="266" t="str">
        <f>informatieblad!$A$5</f>
        <v>none</v>
      </c>
      <c r="AS130" s="64"/>
      <c r="AT130" s="266"/>
      <c r="AU130" s="64"/>
      <c r="AV130" s="266" t="s">
        <v>37</v>
      </c>
      <c r="AW130" s="64"/>
      <c r="AX130" s="269" t="s">
        <v>38</v>
      </c>
      <c r="AY130" s="272">
        <f>informatieblad!$B$3</f>
        <v>0</v>
      </c>
      <c r="AZ130" s="264">
        <f>informatieblad!$B$4</f>
        <v>0</v>
      </c>
    </row>
    <row r="131" spans="1:52">
      <c r="A131" s="475"/>
      <c r="B131" s="502" t="str">
        <f>IF($C132&gt;0,IF(MAX(B130,C130)&lt;informatieblad!$Q$4,informatieblad!$P$3,IF(MAX(B130,C130)&gt;informatieblad!$R$4,informatieblad!$P$5,informatieblad!$P$4)),"")</f>
        <v/>
      </c>
      <c r="C131" s="503"/>
      <c r="D131" s="223"/>
      <c r="E131" s="223"/>
      <c r="F131" s="224" t="str">
        <f>A130&amp;"-"&amp;informatieblad!$B$19&amp;"-"&amp;B130&amp;"-"&amp;C130&amp;"-"&amp;D130&amp;"-"&amp;B131&amp;"-"&amp;F132</f>
        <v>-RctS---0--Options None</v>
      </c>
      <c r="G131" s="235"/>
      <c r="H131" s="235"/>
      <c r="I131" s="236"/>
      <c r="J131" s="83"/>
      <c r="T131" s="103">
        <f>A130</f>
        <v>0</v>
      </c>
      <c r="U131" s="104" t="s">
        <v>39</v>
      </c>
      <c r="V131" s="104" t="s">
        <v>39</v>
      </c>
      <c r="W131" s="104" t="s">
        <v>40</v>
      </c>
      <c r="X131" s="104" t="s">
        <v>40</v>
      </c>
      <c r="Y131" s="104" t="s">
        <v>40</v>
      </c>
      <c r="Z131" s="105"/>
      <c r="AA131" s="155" t="s">
        <v>27</v>
      </c>
      <c r="AB131" s="155" t="s">
        <v>40</v>
      </c>
      <c r="AC131" s="155" t="s">
        <v>41</v>
      </c>
      <c r="AD131" s="156" t="s">
        <v>109</v>
      </c>
      <c r="AE131" s="104" t="s">
        <v>110</v>
      </c>
      <c r="AF131" s="107" t="s">
        <v>95</v>
      </c>
      <c r="AG131" s="107" t="s">
        <v>44</v>
      </c>
      <c r="AH131" s="107"/>
      <c r="AI131" s="104" t="s">
        <v>40</v>
      </c>
      <c r="AJ131" s="104" t="s">
        <v>41</v>
      </c>
      <c r="AK131" s="108"/>
      <c r="AL131" s="109"/>
      <c r="AO131" s="262" t="str">
        <f>informatieblad!$A$2</f>
        <v>FL20 loose</v>
      </c>
      <c r="AP131" s="262" t="str">
        <f>informatieblad!$A$3</f>
        <v>FL30 loose</v>
      </c>
      <c r="AQ131" s="263" t="str">
        <f>informatieblad!$A$4</f>
        <v>FL40 loose</v>
      </c>
      <c r="AR131" s="282"/>
      <c r="AS131" s="64"/>
      <c r="AT131" s="267"/>
      <c r="AU131" s="64"/>
      <c r="AV131" s="267"/>
      <c r="AW131" s="64"/>
      <c r="AX131" s="265" t="s">
        <v>47</v>
      </c>
      <c r="AY131" s="83" t="s">
        <v>23</v>
      </c>
      <c r="AZ131" s="273" t="s">
        <v>23</v>
      </c>
    </row>
    <row r="132" spans="1:52" ht="15.75" thickBot="1">
      <c r="A132" s="495"/>
      <c r="B132" s="227" t="s">
        <v>23</v>
      </c>
      <c r="C132" s="237"/>
      <c r="D132" s="229">
        <f>C132*V132</f>
        <v>0</v>
      </c>
      <c r="E132" s="230" t="s">
        <v>24</v>
      </c>
      <c r="F132" s="498" t="s">
        <v>25</v>
      </c>
      <c r="G132" s="452"/>
      <c r="H132" s="452"/>
      <c r="I132" s="453"/>
      <c r="J132" s="176"/>
      <c r="T132" s="111"/>
      <c r="U132" s="112">
        <f>(((2*(B130+C130))*(D130+25)))/1000000</f>
        <v>0</v>
      </c>
      <c r="V132" s="112">
        <f>((IF(U132&lt;=informatieblad!$I$19,informatieblad!$I$19,IF(U132&gt;=informatieblad!$I$19,U132))))</f>
        <v>0.5</v>
      </c>
      <c r="W132" s="112">
        <f>(((2*(B130+C130))*(D130+25)))/1000000</f>
        <v>0</v>
      </c>
      <c r="X132" s="112">
        <f>((IF(W132&lt;=informatieblad!$H$19,informatieblad!$H$19,IF(W132&gt;=informatieblad!$H$19,W132))))</f>
        <v>0</v>
      </c>
      <c r="Y132" s="113">
        <f>((X132*AI132)+(X132*AB132))*C132</f>
        <v>0</v>
      </c>
      <c r="Z132" s="114">
        <f>((V132*AJ132)+(V132*AC132))*C132</f>
        <v>0</v>
      </c>
      <c r="AA132" s="115" t="str">
        <f>F132</f>
        <v>Options None</v>
      </c>
      <c r="AB132" s="115">
        <f>VLOOKUP(F132,informatieblad!$A$37:$D$41,2,FALSE)</f>
        <v>0</v>
      </c>
      <c r="AC132" s="115">
        <f>VLOOKUP(F132,informatieblad!$A$37:$D$41,4,FALSE)</f>
        <v>0</v>
      </c>
      <c r="AD132" s="180">
        <f>(MAX(K130,L130))</f>
        <v>0</v>
      </c>
      <c r="AE132" s="119">
        <f>(MAX(M130,N130))</f>
        <v>0</v>
      </c>
      <c r="AF132" s="119">
        <f>(MAX(K130,M130))</f>
        <v>0</v>
      </c>
      <c r="AG132" s="119">
        <f>(MAX(B130:C130))</f>
        <v>0</v>
      </c>
      <c r="AH132" s="119">
        <f>LOOKUP(AG132,informatieblad!$C$27:$C$32,informatieblad!$A$27:$A$32)</f>
        <v>0.5</v>
      </c>
      <c r="AI132" s="118">
        <f>VLOOKUP(AH132,informatieblad!$A$27:$M$32,6,FALSE)</f>
        <v>0</v>
      </c>
      <c r="AJ132" s="118">
        <f>VLOOKUP(AH132,informatieblad!$A$27:$M$32,8,FALSE)</f>
        <v>45.1248</v>
      </c>
      <c r="AK132" s="120">
        <f>VLOOKUP(AH132,informatieblad!$A$27:$M$32,13,FALSE)</f>
        <v>4</v>
      </c>
      <c r="AL132" s="121">
        <f>ROUND((AK132*W132),1)</f>
        <v>0</v>
      </c>
      <c r="AO132" s="111">
        <f>(IF(B131=AO130,((2*B130)+(2*C130)),IF(B131=AO131,((2*B130)+(2*C130)),0)))*C132</f>
        <v>0</v>
      </c>
      <c r="AP132" s="111">
        <f>(IF(B131=AP130,((2*B130)+(2*C130)),IF(B131=AP131,((2*B130)+(2*C130)),0)))*C132</f>
        <v>0</v>
      </c>
      <c r="AQ132" s="261">
        <f>(IF(B131=AQ130,((2*B130)+(2*C130)),IF(B131=AQ131,((2*B130)+(2*C130)),0)))*C132</f>
        <v>0</v>
      </c>
      <c r="AR132" s="283">
        <f>(IF(B131=AR130,((2*B130)+(2*C130)),0))*C132</f>
        <v>0</v>
      </c>
      <c r="AS132" s="64"/>
      <c r="AT132" s="268"/>
      <c r="AU132" s="64"/>
      <c r="AV132" s="268">
        <f>(AG132+100)*C132</f>
        <v>0</v>
      </c>
      <c r="AW132" s="64"/>
      <c r="AX132" s="111" t="str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/>
      </c>
      <c r="AY132" s="276">
        <f>IF(AX132=AY130,(4*C132),0)</f>
        <v>0</v>
      </c>
      <c r="AZ132" s="274">
        <f>IF(AX132=AZ130,(4*C132),0)</f>
        <v>0</v>
      </c>
    </row>
    <row r="133" spans="1:52" ht="5.0999999999999996" customHeight="1" thickBot="1">
      <c r="A133" s="231"/>
      <c r="B133" s="232"/>
      <c r="C133" s="232"/>
      <c r="D133" s="232"/>
      <c r="E133" s="232"/>
      <c r="F133" s="232"/>
      <c r="G133" s="232"/>
      <c r="H133" s="232"/>
      <c r="I133" s="233"/>
      <c r="J133" s="64"/>
    </row>
    <row r="134" spans="1:52" ht="15.75" thickBot="1">
      <c r="A134" s="494"/>
      <c r="B134" s="234"/>
      <c r="C134" s="234"/>
      <c r="D134" s="220">
        <f>(B134&gt;0)*$I$8</f>
        <v>0</v>
      </c>
      <c r="E134" s="221"/>
      <c r="F134" s="221"/>
      <c r="G134" s="221"/>
      <c r="H134" s="221"/>
      <c r="I134" s="222"/>
      <c r="J134" s="345" t="s">
        <v>20</v>
      </c>
      <c r="T134" s="97" t="s">
        <v>14</v>
      </c>
      <c r="U134" s="98" t="s">
        <v>27</v>
      </c>
      <c r="V134" s="98" t="s">
        <v>28</v>
      </c>
      <c r="W134" s="98" t="s">
        <v>27</v>
      </c>
      <c r="X134" s="98" t="s">
        <v>28</v>
      </c>
      <c r="Y134" s="98" t="s">
        <v>29</v>
      </c>
      <c r="Z134" s="66" t="s">
        <v>30</v>
      </c>
      <c r="AA134" s="153" t="s">
        <v>31</v>
      </c>
      <c r="AB134" s="153"/>
      <c r="AC134" s="153"/>
      <c r="AD134" s="154" t="s">
        <v>83</v>
      </c>
      <c r="AE134" s="100" t="s">
        <v>83</v>
      </c>
      <c r="AF134" s="100" t="s">
        <v>83</v>
      </c>
      <c r="AG134" s="100" t="s">
        <v>33</v>
      </c>
      <c r="AH134" s="100" t="s">
        <v>34</v>
      </c>
      <c r="AI134" s="98" t="s">
        <v>32</v>
      </c>
      <c r="AJ134" s="98" t="s">
        <v>32</v>
      </c>
      <c r="AK134" s="98" t="s">
        <v>50</v>
      </c>
      <c r="AL134" s="101" t="s">
        <v>36</v>
      </c>
      <c r="AO134" s="97" t="str">
        <f>informatieblad!$A$6</f>
        <v>FL20</v>
      </c>
      <c r="AP134" s="97" t="str">
        <f>informatieblad!$A$7</f>
        <v>FL30</v>
      </c>
      <c r="AQ134" s="99" t="str">
        <f>informatieblad!$A$8</f>
        <v>FL40</v>
      </c>
      <c r="AR134" s="266" t="str">
        <f>informatieblad!$A$5</f>
        <v>none</v>
      </c>
      <c r="AS134" s="64"/>
      <c r="AT134" s="266"/>
      <c r="AU134" s="64"/>
      <c r="AV134" s="266" t="s">
        <v>37</v>
      </c>
      <c r="AW134" s="64"/>
      <c r="AX134" s="269" t="s">
        <v>38</v>
      </c>
      <c r="AY134" s="272">
        <f>informatieblad!$B$3</f>
        <v>0</v>
      </c>
      <c r="AZ134" s="264">
        <f>informatieblad!$B$4</f>
        <v>0</v>
      </c>
    </row>
    <row r="135" spans="1:52">
      <c r="A135" s="475"/>
      <c r="B135" s="502" t="str">
        <f>IF($C136&gt;0,IF(MAX(B134,C134)&lt;informatieblad!$Q$4,informatieblad!$P$3,IF(MAX(B134,C134)&gt;informatieblad!$R$4,informatieblad!$P$5,informatieblad!$P$4)),"")</f>
        <v/>
      </c>
      <c r="C135" s="503"/>
      <c r="D135" s="223"/>
      <c r="E135" s="223"/>
      <c r="F135" s="224" t="str">
        <f>A134&amp;"-"&amp;informatieblad!$B$19&amp;"-"&amp;B134&amp;"-"&amp;C134&amp;"-"&amp;D134&amp;"-"&amp;B135&amp;"-"&amp;F136</f>
        <v>-RctS---0--Options None</v>
      </c>
      <c r="G135" s="235"/>
      <c r="H135" s="235"/>
      <c r="I135" s="236"/>
      <c r="J135" s="83"/>
      <c r="T135" s="103">
        <f>A134</f>
        <v>0</v>
      </c>
      <c r="U135" s="104" t="s">
        <v>39</v>
      </c>
      <c r="V135" s="104" t="s">
        <v>39</v>
      </c>
      <c r="W135" s="104" t="s">
        <v>40</v>
      </c>
      <c r="X135" s="104" t="s">
        <v>40</v>
      </c>
      <c r="Y135" s="104" t="s">
        <v>40</v>
      </c>
      <c r="Z135" s="105"/>
      <c r="AA135" s="155" t="s">
        <v>27</v>
      </c>
      <c r="AB135" s="155" t="s">
        <v>40</v>
      </c>
      <c r="AC135" s="155" t="s">
        <v>41</v>
      </c>
      <c r="AD135" s="156" t="s">
        <v>109</v>
      </c>
      <c r="AE135" s="104" t="s">
        <v>110</v>
      </c>
      <c r="AF135" s="107" t="s">
        <v>95</v>
      </c>
      <c r="AG135" s="107" t="s">
        <v>44</v>
      </c>
      <c r="AH135" s="107"/>
      <c r="AI135" s="104" t="s">
        <v>40</v>
      </c>
      <c r="AJ135" s="104" t="s">
        <v>41</v>
      </c>
      <c r="AK135" s="108"/>
      <c r="AL135" s="109"/>
      <c r="AO135" s="262" t="str">
        <f>informatieblad!$A$2</f>
        <v>FL20 loose</v>
      </c>
      <c r="AP135" s="262" t="str">
        <f>informatieblad!$A$3</f>
        <v>FL30 loose</v>
      </c>
      <c r="AQ135" s="263" t="str">
        <f>informatieblad!$A$4</f>
        <v>FL40 loose</v>
      </c>
      <c r="AR135" s="282"/>
      <c r="AS135" s="64"/>
      <c r="AT135" s="267"/>
      <c r="AU135" s="64"/>
      <c r="AV135" s="267"/>
      <c r="AW135" s="64"/>
      <c r="AX135" s="265" t="s">
        <v>47</v>
      </c>
      <c r="AY135" s="83" t="s">
        <v>23</v>
      </c>
      <c r="AZ135" s="273" t="s">
        <v>23</v>
      </c>
    </row>
    <row r="136" spans="1:52" ht="15.75" thickBot="1">
      <c r="A136" s="495"/>
      <c r="B136" s="227" t="s">
        <v>23</v>
      </c>
      <c r="C136" s="237"/>
      <c r="D136" s="229">
        <f>C136*V136</f>
        <v>0</v>
      </c>
      <c r="E136" s="230" t="s">
        <v>24</v>
      </c>
      <c r="F136" s="498" t="s">
        <v>25</v>
      </c>
      <c r="G136" s="452"/>
      <c r="H136" s="452"/>
      <c r="I136" s="453"/>
      <c r="J136" s="176"/>
      <c r="T136" s="111"/>
      <c r="U136" s="112">
        <f>(((2*(B134+C134))*(D134+25)))/1000000</f>
        <v>0</v>
      </c>
      <c r="V136" s="112">
        <f>((IF(U136&lt;=informatieblad!$I$19,informatieblad!$I$19,IF(U136&gt;=informatieblad!$I$19,U136))))</f>
        <v>0.5</v>
      </c>
      <c r="W136" s="112">
        <f>(((2*(B134+C134))*(D134+25)))/1000000</f>
        <v>0</v>
      </c>
      <c r="X136" s="112">
        <f>((IF(W136&lt;=informatieblad!$H$19,informatieblad!$H$19,IF(W136&gt;=informatieblad!$H$19,W136))))</f>
        <v>0</v>
      </c>
      <c r="Y136" s="113">
        <f>((X136*AI136)+(X136*AB136))*C136</f>
        <v>0</v>
      </c>
      <c r="Z136" s="114">
        <f>((V136*AJ136)+(V136*AC136))*C136</f>
        <v>0</v>
      </c>
      <c r="AA136" s="115" t="str">
        <f>F136</f>
        <v>Options None</v>
      </c>
      <c r="AB136" s="115">
        <f>VLOOKUP(F136,informatieblad!$A$37:$D$41,2,FALSE)</f>
        <v>0</v>
      </c>
      <c r="AC136" s="115">
        <f>VLOOKUP(F136,informatieblad!$A$37:$D$41,4,FALSE)</f>
        <v>0</v>
      </c>
      <c r="AD136" s="180">
        <f>(MAX(K134,L134))</f>
        <v>0</v>
      </c>
      <c r="AE136" s="119">
        <f>(MAX(M134,N134))</f>
        <v>0</v>
      </c>
      <c r="AF136" s="119">
        <f>(MAX(K134,M134))</f>
        <v>0</v>
      </c>
      <c r="AG136" s="119">
        <f>(MAX(B134:C134))</f>
        <v>0</v>
      </c>
      <c r="AH136" s="119">
        <f>LOOKUP(AG136,informatieblad!$C$27:$C$32,informatieblad!$A$27:$A$32)</f>
        <v>0.5</v>
      </c>
      <c r="AI136" s="118">
        <f>VLOOKUP(AH136,informatieblad!$A$27:$M$32,6,FALSE)</f>
        <v>0</v>
      </c>
      <c r="AJ136" s="118">
        <f>VLOOKUP(AH136,informatieblad!$A$27:$M$32,8,FALSE)</f>
        <v>45.1248</v>
      </c>
      <c r="AK136" s="120">
        <f>VLOOKUP(AH136,informatieblad!$A$27:$M$32,13,FALSE)</f>
        <v>4</v>
      </c>
      <c r="AL136" s="121">
        <f>ROUND((AK136*W136),1)</f>
        <v>0</v>
      </c>
      <c r="AO136" s="111">
        <f>(IF(B135=AO134,((2*B134)+(2*C134)),IF(B135=AO135,((2*B134)+(2*C134)),0)))*C136</f>
        <v>0</v>
      </c>
      <c r="AP136" s="111">
        <f>(IF(B135=AP134,((2*B134)+(2*C134)),IF(B135=AP135,((2*B134)+(2*C134)),0)))*C136</f>
        <v>0</v>
      </c>
      <c r="AQ136" s="261">
        <f>(IF(B135=AQ134,((2*B134)+(2*C134)),IF(B135=AQ135,((2*B134)+(2*C134)),0)))*C136</f>
        <v>0</v>
      </c>
      <c r="AR136" s="283">
        <f>(IF(B135=AR134,((2*B134)+(2*C134)),0))*C136</f>
        <v>0</v>
      </c>
      <c r="AS136" s="64"/>
      <c r="AT136" s="268"/>
      <c r="AU136" s="64"/>
      <c r="AV136" s="268">
        <f>(AG136+100)*C136</f>
        <v>0</v>
      </c>
      <c r="AW136" s="64"/>
      <c r="AX136" s="111" t="str">
        <f>IF(B135=informatieblad!$A$6,informatieblad!$B$6,IF(B135=informatieblad!$A$7,informatieblad!$B$7,IF(B135=informatieblad!$A$8,informatieblad!$B$8,IF(B135=informatieblad!$A$2,informatieblad!$B$2,IF(B135=informatieblad!$A$3,informatieblad!$B$3,IF(B135=informatieblad!$A$4,informatieblad!$B$4,IF(B135=informatieblad!$A$5,informatieblad!$B$5,"")))))))</f>
        <v/>
      </c>
      <c r="AY136" s="276">
        <f>IF(AX136=AY134,(4*C136),0)</f>
        <v>0</v>
      </c>
      <c r="AZ136" s="274">
        <f>IF(AX136=AZ134,(4*C136),0)</f>
        <v>0</v>
      </c>
    </row>
    <row r="137" spans="1:52" ht="5.0999999999999996" customHeight="1" thickBot="1">
      <c r="A137" s="231"/>
      <c r="B137" s="232"/>
      <c r="C137" s="232"/>
      <c r="D137" s="232"/>
      <c r="E137" s="232"/>
      <c r="F137" s="232"/>
      <c r="G137" s="232"/>
      <c r="H137" s="232"/>
      <c r="I137" s="233"/>
      <c r="J137" s="64"/>
    </row>
    <row r="138" spans="1:52" ht="15.75" thickBot="1">
      <c r="A138" s="494"/>
      <c r="B138" s="234"/>
      <c r="C138" s="234"/>
      <c r="D138" s="220">
        <f>(B138&gt;0)*$I$8</f>
        <v>0</v>
      </c>
      <c r="E138" s="221"/>
      <c r="F138" s="221"/>
      <c r="G138" s="221"/>
      <c r="H138" s="221"/>
      <c r="I138" s="222"/>
      <c r="J138" s="345" t="s">
        <v>20</v>
      </c>
      <c r="T138" s="97" t="s">
        <v>14</v>
      </c>
      <c r="U138" s="98" t="s">
        <v>27</v>
      </c>
      <c r="V138" s="98" t="s">
        <v>28</v>
      </c>
      <c r="W138" s="98" t="s">
        <v>27</v>
      </c>
      <c r="X138" s="98" t="s">
        <v>28</v>
      </c>
      <c r="Y138" s="98" t="s">
        <v>29</v>
      </c>
      <c r="Z138" s="66" t="s">
        <v>30</v>
      </c>
      <c r="AA138" s="153" t="s">
        <v>31</v>
      </c>
      <c r="AB138" s="153"/>
      <c r="AC138" s="153"/>
      <c r="AD138" s="154" t="s">
        <v>83</v>
      </c>
      <c r="AE138" s="100" t="s">
        <v>83</v>
      </c>
      <c r="AF138" s="100" t="s">
        <v>83</v>
      </c>
      <c r="AG138" s="100" t="s">
        <v>33</v>
      </c>
      <c r="AH138" s="100" t="s">
        <v>34</v>
      </c>
      <c r="AI138" s="98" t="s">
        <v>32</v>
      </c>
      <c r="AJ138" s="98" t="s">
        <v>32</v>
      </c>
      <c r="AK138" s="98" t="s">
        <v>50</v>
      </c>
      <c r="AL138" s="101" t="s">
        <v>36</v>
      </c>
      <c r="AO138" s="97" t="str">
        <f>informatieblad!$A$6</f>
        <v>FL20</v>
      </c>
      <c r="AP138" s="97" t="str">
        <f>informatieblad!$A$7</f>
        <v>FL30</v>
      </c>
      <c r="AQ138" s="99" t="str">
        <f>informatieblad!$A$8</f>
        <v>FL40</v>
      </c>
      <c r="AR138" s="266" t="str">
        <f>informatieblad!$A$5</f>
        <v>none</v>
      </c>
      <c r="AS138" s="64"/>
      <c r="AT138" s="266"/>
      <c r="AU138" s="64"/>
      <c r="AV138" s="266" t="s">
        <v>37</v>
      </c>
      <c r="AW138" s="64"/>
      <c r="AX138" s="269" t="s">
        <v>38</v>
      </c>
      <c r="AY138" s="272">
        <f>informatieblad!$B$3</f>
        <v>0</v>
      </c>
      <c r="AZ138" s="264">
        <f>informatieblad!$B$4</f>
        <v>0</v>
      </c>
    </row>
    <row r="139" spans="1:52">
      <c r="A139" s="475"/>
      <c r="B139" s="502" t="str">
        <f>IF($C140&gt;0,IF(MAX(B138,C138)&lt;informatieblad!$Q$4,informatieblad!$P$3,IF(MAX(B138,C138)&gt;informatieblad!$R$4,informatieblad!$P$5,informatieblad!$P$4)),"")</f>
        <v/>
      </c>
      <c r="C139" s="503"/>
      <c r="D139" s="223"/>
      <c r="E139" s="223"/>
      <c r="F139" s="224" t="str">
        <f>A138&amp;"-"&amp;informatieblad!$B$19&amp;"-"&amp;B138&amp;"-"&amp;C138&amp;"-"&amp;D138&amp;"-"&amp;B139&amp;"-"&amp;F140</f>
        <v>-RctS---0--Options None</v>
      </c>
      <c r="G139" s="235"/>
      <c r="H139" s="235"/>
      <c r="I139" s="236"/>
      <c r="T139" s="103">
        <f>A138</f>
        <v>0</v>
      </c>
      <c r="U139" s="104" t="s">
        <v>39</v>
      </c>
      <c r="V139" s="104" t="s">
        <v>39</v>
      </c>
      <c r="W139" s="104" t="s">
        <v>40</v>
      </c>
      <c r="X139" s="104" t="s">
        <v>40</v>
      </c>
      <c r="Y139" s="104" t="s">
        <v>40</v>
      </c>
      <c r="Z139" s="105"/>
      <c r="AA139" s="155" t="s">
        <v>27</v>
      </c>
      <c r="AB139" s="155" t="s">
        <v>40</v>
      </c>
      <c r="AC139" s="155" t="s">
        <v>41</v>
      </c>
      <c r="AD139" s="156" t="s">
        <v>109</v>
      </c>
      <c r="AE139" s="104" t="s">
        <v>110</v>
      </c>
      <c r="AF139" s="107" t="s">
        <v>95</v>
      </c>
      <c r="AG139" s="107" t="s">
        <v>44</v>
      </c>
      <c r="AH139" s="107"/>
      <c r="AI139" s="104" t="s">
        <v>40</v>
      </c>
      <c r="AJ139" s="104" t="s">
        <v>41</v>
      </c>
      <c r="AK139" s="108"/>
      <c r="AL139" s="109"/>
      <c r="AO139" s="262" t="str">
        <f>informatieblad!$A$2</f>
        <v>FL20 loose</v>
      </c>
      <c r="AP139" s="262" t="str">
        <f>informatieblad!$A$3</f>
        <v>FL30 loose</v>
      </c>
      <c r="AQ139" s="263" t="str">
        <f>informatieblad!$A$4</f>
        <v>FL40 loose</v>
      </c>
      <c r="AR139" s="282"/>
      <c r="AS139" s="64"/>
      <c r="AT139" s="267"/>
      <c r="AU139" s="64"/>
      <c r="AV139" s="267"/>
      <c r="AW139" s="64"/>
      <c r="AX139" s="265" t="s">
        <v>47</v>
      </c>
      <c r="AY139" s="83" t="s">
        <v>23</v>
      </c>
      <c r="AZ139" s="273" t="s">
        <v>23</v>
      </c>
    </row>
    <row r="140" spans="1:52" ht="15.75" thickBot="1">
      <c r="A140" s="495"/>
      <c r="B140" s="227" t="s">
        <v>23</v>
      </c>
      <c r="C140" s="237"/>
      <c r="D140" s="229">
        <f>C140*V140</f>
        <v>0</v>
      </c>
      <c r="E140" s="230" t="s">
        <v>24</v>
      </c>
      <c r="F140" s="498" t="s">
        <v>25</v>
      </c>
      <c r="G140" s="452"/>
      <c r="H140" s="452"/>
      <c r="I140" s="453"/>
      <c r="T140" s="111"/>
      <c r="U140" s="112">
        <f>(((2*(B138+C138))*(D138+25)))/1000000</f>
        <v>0</v>
      </c>
      <c r="V140" s="112">
        <f>((IF(U140&lt;=informatieblad!$I$19,informatieblad!$I$19,IF(U140&gt;=informatieblad!$I$19,U140))))</f>
        <v>0.5</v>
      </c>
      <c r="W140" s="112">
        <f>(((2*(B138+C138))*(D138+25)))/1000000</f>
        <v>0</v>
      </c>
      <c r="X140" s="112">
        <f>((IF(W140&lt;=informatieblad!$H$19,informatieblad!$H$19,IF(W140&gt;=informatieblad!$H$19,W140))))</f>
        <v>0</v>
      </c>
      <c r="Y140" s="113">
        <f>((X140*AI140)+(X140*AB140))*C140</f>
        <v>0</v>
      </c>
      <c r="Z140" s="114">
        <f>((V140*AJ140)+(V140*AC140))*C140</f>
        <v>0</v>
      </c>
      <c r="AA140" s="115" t="str">
        <f>F140</f>
        <v>Options None</v>
      </c>
      <c r="AB140" s="115">
        <f>VLOOKUP(F140,informatieblad!$A$37:$D$41,2,FALSE)</f>
        <v>0</v>
      </c>
      <c r="AC140" s="115">
        <f>VLOOKUP(F140,informatieblad!$A$37:$D$41,4,FALSE)</f>
        <v>0</v>
      </c>
      <c r="AD140" s="180">
        <f>(MAX(K138,L138))</f>
        <v>0</v>
      </c>
      <c r="AE140" s="119">
        <f>(MAX(M138,N138))</f>
        <v>0</v>
      </c>
      <c r="AF140" s="119">
        <f>(MAX(K138,M138))</f>
        <v>0</v>
      </c>
      <c r="AG140" s="119">
        <f>(MAX(B138:C138))</f>
        <v>0</v>
      </c>
      <c r="AH140" s="119">
        <f>LOOKUP(AG140,informatieblad!$C$27:$C$32,informatieblad!$A$27:$A$32)</f>
        <v>0.5</v>
      </c>
      <c r="AI140" s="118">
        <f>VLOOKUP(AH140,informatieblad!$A$27:$M$32,6,FALSE)</f>
        <v>0</v>
      </c>
      <c r="AJ140" s="118">
        <f>VLOOKUP(AH140,informatieblad!$A$27:$M$32,8,FALSE)</f>
        <v>45.1248</v>
      </c>
      <c r="AK140" s="120">
        <f>VLOOKUP(AH140,informatieblad!$A$27:$M$32,13,FALSE)</f>
        <v>4</v>
      </c>
      <c r="AL140" s="121">
        <f>ROUND((AK140*W140),1)</f>
        <v>0</v>
      </c>
      <c r="AO140" s="111">
        <f>(IF(B139=AO138,((2*B138)+(2*C138)),IF(B139=AO139,((2*B138)+(2*C138)),0)))*C140</f>
        <v>0</v>
      </c>
      <c r="AP140" s="111">
        <f>(IF(B139=AP138,((2*B138)+(2*C138)),IF(B139=AP139,((2*B138)+(2*C138)),0)))*C140</f>
        <v>0</v>
      </c>
      <c r="AQ140" s="261">
        <f>(IF(B139=AQ138,((2*B138)+(2*C138)),IF(B139=AQ139,((2*B138)+(2*C138)),0)))*C140</f>
        <v>0</v>
      </c>
      <c r="AR140" s="283">
        <f>(IF(B139=AR138,((2*B138)+(2*C138)),0))*C140</f>
        <v>0</v>
      </c>
      <c r="AS140" s="64"/>
      <c r="AT140" s="268"/>
      <c r="AU140" s="64"/>
      <c r="AV140" s="268">
        <f>(AG140+100)*C140</f>
        <v>0</v>
      </c>
      <c r="AW140" s="64"/>
      <c r="AX140" s="111" t="str">
        <f>IF(B139=informatieblad!$A$6,informatieblad!$B$6,IF(B139=informatieblad!$A$7,informatieblad!$B$7,IF(B139=informatieblad!$A$8,informatieblad!$B$8,IF(B139=informatieblad!$A$2,informatieblad!$B$2,IF(B139=informatieblad!$A$3,informatieblad!$B$3,IF(B139=informatieblad!$A$4,informatieblad!$B$4,IF(B139=informatieblad!$A$5,informatieblad!$B$5,"")))))))</f>
        <v/>
      </c>
      <c r="AY140" s="276">
        <f>IF(AX140=AY138,(4*C140),0)</f>
        <v>0</v>
      </c>
      <c r="AZ140" s="274">
        <f>IF(AX140=AZ138,(4*C140),0)</f>
        <v>0</v>
      </c>
    </row>
    <row r="141" spans="1:52" ht="15.75" thickBot="1"/>
    <row r="142" spans="1:52" ht="15.75" thickBot="1">
      <c r="AO142" s="277" t="s">
        <v>66</v>
      </c>
      <c r="AP142" s="280" t="s">
        <v>67</v>
      </c>
      <c r="AQ142" s="280" t="s">
        <v>68</v>
      </c>
      <c r="AR142" s="278" t="s">
        <v>69</v>
      </c>
      <c r="AS142" s="83"/>
      <c r="AT142" s="280"/>
      <c r="AU142" s="131"/>
      <c r="AV142" s="280" t="s">
        <v>159</v>
      </c>
      <c r="AW142" s="83"/>
      <c r="AX142" s="83"/>
      <c r="AY142" s="277" t="s">
        <v>70</v>
      </c>
      <c r="AZ142" s="280" t="s">
        <v>71</v>
      </c>
    </row>
    <row r="143" spans="1:52" ht="5.0999999999999996" customHeight="1" thickBot="1">
      <c r="AO143" s="354">
        <f>SUM(AO24,AO28,AO32,AO36,AO40,AO44,AO48,AO52,AO56,AO60,AO64,AO68,AO72,AO76,AO80,AO84,AO88,AO92,AO96,AO100,AO104,AO108,AO112,AO116,AO120,AO124,AO128,AO132,AO136,AO140)</f>
        <v>0</v>
      </c>
      <c r="AP143" s="344">
        <f>SUM(AP24,AP28,AP32,AP36,AP40,AP44,AP48,AP52,AP56,AP60,AP64,AP68,AP72,AP76,AP80,AP84,AP88,AP92,AP96,AP100,AP104,AP108,AP112,AP116,AP120,AP124,AP128,AP132,AP136,AP140)</f>
        <v>0</v>
      </c>
      <c r="AQ143" s="344">
        <f>SUM(AQ24,AQ28,AQ32,AQ36,AQ40,AQ44,AQ48,AQ52,AQ56,AQ60,AQ64,AQ68,AQ72,AQ76,AQ80,AQ84,AQ88,AQ92,AQ96,AQ100,AQ104,AQ108,AQ112,AQ116,AQ120,AQ124,AQ128,AQ132,AQ136,AQ140)</f>
        <v>0</v>
      </c>
      <c r="AR143" s="355">
        <f>SUM(AR24,AR28,AR32,AR36,AR40,AR44,AR48,AR52,AR56,AR60,AR64,AR68,AR72,AR76,AR80,AR84,AR88,AR92,AR96,AR100,AR104,AR108,AR112,AR116,AR120,AR124,AR128,AR132,AR136,AR140)</f>
        <v>0</v>
      </c>
      <c r="AS143" s="83"/>
      <c r="AT143" s="344"/>
      <c r="AU143" s="83"/>
      <c r="AV143" s="344">
        <f>SUM(AV24,AV28,AV32,AV36,AV40,AV44,AV48,AV52,AV56,AV60,AV64,AV68,AV72,AV76,AV80,AV84,AV88,AV92,AV96,AV100,AV104,AV108,AV112,AV116,AV120,AV124,AV128,AV132,AV136,AV140)</f>
        <v>0</v>
      </c>
      <c r="AW143" s="83"/>
      <c r="AX143" s="83"/>
      <c r="AY143" s="354">
        <f>SUM(AY24,AY28,AY32,AY36,AY40,AY44,AY48,AY52,AY56,AY60,AY64,AY68,AY72,AY76,AY80,AY84,AY88,AY92,AY96,AY100,AY104,AY108,AY112,AY116,AY120,AY124,AY128,AY132,AY136,AY140)</f>
        <v>0</v>
      </c>
      <c r="AZ143" s="344">
        <f>SUM(AZ24,AZ28,AZ32,AZ36,AZ40,AZ44,AZ48,AZ52,AZ56,AZ60,AZ64,AZ68,AZ72,AZ76,AZ80,AZ84,AZ88,AZ92,AZ96,AZ100,AZ104,AZ108,AZ112,AZ116,AZ120,AZ124,AZ128,AZ132,AZ136,AZ140)</f>
        <v>0</v>
      </c>
    </row>
  </sheetData>
  <sheetProtection algorithmName="SHA-512" hashValue="A7cI+q98l7n034YpT6ZiK+OjbSIP/fMYoN2F6M1WBcEjjmhrE30CoHdDLM3/DzUKvk/bLcShUm3ZS8lyAqBPmw==" saltValue="HQjQ5ObDzs83Nzw/NLf7UA==" spinCount="100000" sheet="1" objects="1" scenarios="1"/>
  <mergeCells count="93">
    <mergeCell ref="A50:A52"/>
    <mergeCell ref="B51:C51"/>
    <mergeCell ref="F52:I52"/>
    <mergeCell ref="A42:A44"/>
    <mergeCell ref="B43:C43"/>
    <mergeCell ref="F44:I44"/>
    <mergeCell ref="A46:A48"/>
    <mergeCell ref="B47:C47"/>
    <mergeCell ref="F48:I48"/>
    <mergeCell ref="A34:A36"/>
    <mergeCell ref="B35:C35"/>
    <mergeCell ref="F36:I36"/>
    <mergeCell ref="A38:A40"/>
    <mergeCell ref="B39:C39"/>
    <mergeCell ref="F40:I40"/>
    <mergeCell ref="A26:A28"/>
    <mergeCell ref="B27:C27"/>
    <mergeCell ref="F28:I28"/>
    <mergeCell ref="A30:A32"/>
    <mergeCell ref="B31:C31"/>
    <mergeCell ref="F32:I32"/>
    <mergeCell ref="A18:A20"/>
    <mergeCell ref="B19:C19"/>
    <mergeCell ref="F20:I20"/>
    <mergeCell ref="A22:A24"/>
    <mergeCell ref="B23:C23"/>
    <mergeCell ref="F24:I24"/>
    <mergeCell ref="A54:A56"/>
    <mergeCell ref="B55:C55"/>
    <mergeCell ref="F56:I56"/>
    <mergeCell ref="A58:A60"/>
    <mergeCell ref="B59:C59"/>
    <mergeCell ref="F60:I60"/>
    <mergeCell ref="A62:A64"/>
    <mergeCell ref="B63:C63"/>
    <mergeCell ref="F64:I64"/>
    <mergeCell ref="A66:A68"/>
    <mergeCell ref="B67:C67"/>
    <mergeCell ref="F68:I68"/>
    <mergeCell ref="A70:A72"/>
    <mergeCell ref="B71:C71"/>
    <mergeCell ref="F72:I72"/>
    <mergeCell ref="A74:A76"/>
    <mergeCell ref="B75:C75"/>
    <mergeCell ref="F76:I76"/>
    <mergeCell ref="A78:A80"/>
    <mergeCell ref="B79:C79"/>
    <mergeCell ref="F80:I80"/>
    <mergeCell ref="A82:A84"/>
    <mergeCell ref="B83:C83"/>
    <mergeCell ref="F84:I84"/>
    <mergeCell ref="A86:A88"/>
    <mergeCell ref="B87:C87"/>
    <mergeCell ref="F88:I88"/>
    <mergeCell ref="A90:A92"/>
    <mergeCell ref="B91:C91"/>
    <mergeCell ref="F92:I92"/>
    <mergeCell ref="A94:A96"/>
    <mergeCell ref="B95:C95"/>
    <mergeCell ref="F96:I96"/>
    <mergeCell ref="A98:A100"/>
    <mergeCell ref="B99:C99"/>
    <mergeCell ref="F100:I100"/>
    <mergeCell ref="A102:A104"/>
    <mergeCell ref="B103:C103"/>
    <mergeCell ref="F104:I104"/>
    <mergeCell ref="A106:A108"/>
    <mergeCell ref="B107:C107"/>
    <mergeCell ref="F108:I108"/>
    <mergeCell ref="A110:A112"/>
    <mergeCell ref="B111:C111"/>
    <mergeCell ref="F112:I112"/>
    <mergeCell ref="A114:A116"/>
    <mergeCell ref="B115:C115"/>
    <mergeCell ref="F116:I116"/>
    <mergeCell ref="A118:A120"/>
    <mergeCell ref="B119:C119"/>
    <mergeCell ref="F120:I120"/>
    <mergeCell ref="A122:A124"/>
    <mergeCell ref="B123:C123"/>
    <mergeCell ref="F124:I124"/>
    <mergeCell ref="A126:A128"/>
    <mergeCell ref="B127:C127"/>
    <mergeCell ref="F128:I128"/>
    <mergeCell ref="A130:A132"/>
    <mergeCell ref="B131:C131"/>
    <mergeCell ref="F132:I132"/>
    <mergeCell ref="A134:A136"/>
    <mergeCell ref="B135:C135"/>
    <mergeCell ref="F136:I136"/>
    <mergeCell ref="A138:A140"/>
    <mergeCell ref="B139:C139"/>
    <mergeCell ref="F140:I140"/>
  </mergeCells>
  <phoneticPr fontId="3" type="noConversion"/>
  <dataValidations disablePrompts="1" count="2">
    <dataValidation type="list" allowBlank="1" showInputMessage="1" showErrorMessage="1" sqref="B23:C23 B27:C27 B31:C31 B35:C35 B39:C39 B43:C43 B47:C47 B51:C51 B55:C55 B59:C59 B63:C63 B67:C67 B71:C71 B75:C75 B79:C79 B83:C83 B87:C87 B91:C91 B95:C95 B99:C99 B103:C103 B107:C107 B111:C111 B115:C115 B119:C119 B123:C123 B127:C127 B131:C131 B135:C135 B139:C139" xr:uid="{C19F22F1-9D5E-4C41-A5E2-AEAE8E1AD17E}">
      <formula1>Options_flanges</formula1>
    </dataValidation>
    <dataValidation type="list" allowBlank="1" showInputMessage="1" showErrorMessage="1" sqref="F20:I20 F24:I24 F28:I28 F32:I32 F36:I36 F40:I40 F44:I44 F48:I48 F52:I52 F80:I80 F56:I56 F60:I60 F64:I64 F68:I68 F72:I72 F76:I76 F84:I84 F88:I88 F92:I92 F96:I96 F100:I100 F104:I104 F108:I108 F112:I112 F116:I116 F120:I120 F124:I124 F128:I128 F132:I132 F136:I136 F140:I140" xr:uid="{AD3F0C4C-3BF0-46D6-90A1-5DEB2D257027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1481F-A2AA-44A1-ADB2-AF5F5E7BF0AC}">
  <sheetPr>
    <tabColor theme="3" tint="0.249977111117893"/>
  </sheetPr>
  <dimension ref="A1:BK140"/>
  <sheetViews>
    <sheetView showGridLines="0" showZeros="0" view="pageBreakPreview" zoomScaleNormal="100" zoomScaleSheetLayoutView="100" workbookViewId="0">
      <pane xSplit="11" ySplit="15" topLeftCell="L16" activePane="bottomRight" state="frozen"/>
      <selection pane="bottomRight" activeCell="A20" sqref="A20:A22"/>
      <selection pane="bottomLeft" activeCell="A16" sqref="A16"/>
      <selection pane="topRight" activeCell="L1" sqref="L1"/>
    </sheetView>
  </sheetViews>
  <sheetFormatPr defaultColWidth="9.140625" defaultRowHeight="14.25"/>
  <cols>
    <col min="1" max="4" width="9.7109375" style="64" customWidth="1"/>
    <col min="5" max="5" width="8.7109375" style="64" customWidth="1"/>
    <col min="6" max="7" width="5.7109375" style="64" customWidth="1"/>
    <col min="8" max="10" width="9.7109375" style="64" customWidth="1"/>
    <col min="11" max="11" width="10.7109375" style="64" customWidth="1"/>
    <col min="12" max="12" width="50.7109375" style="64" customWidth="1"/>
    <col min="13" max="15" width="0" style="64" hidden="1" customWidth="1"/>
    <col min="16" max="16" width="13.140625" style="64" hidden="1" customWidth="1"/>
    <col min="17" max="22" width="0" style="64" hidden="1" customWidth="1"/>
    <col min="23" max="23" width="13.140625" style="64" hidden="1" customWidth="1"/>
    <col min="24" max="24" width="19.42578125" style="64" hidden="1" customWidth="1"/>
    <col min="25" max="25" width="13.140625" style="64" hidden="1" customWidth="1"/>
    <col min="26" max="26" width="22" style="64" hidden="1" customWidth="1"/>
    <col min="27" max="27" width="24.85546875" style="64" hidden="1" customWidth="1"/>
    <col min="28" max="31" width="20.28515625" style="64" hidden="1" customWidth="1"/>
    <col min="32" max="35" width="15.28515625" style="64" hidden="1" customWidth="1"/>
    <col min="36" max="36" width="30.28515625" style="64" hidden="1" customWidth="1"/>
    <col min="37" max="37" width="24" style="64" hidden="1" customWidth="1"/>
    <col min="38" max="38" width="23.7109375" style="64" hidden="1" customWidth="1"/>
    <col min="39" max="39" width="19.140625" style="64" hidden="1" customWidth="1"/>
    <col min="40" max="41" width="12.85546875" style="64" hidden="1" customWidth="1"/>
    <col min="42" max="43" width="9.42578125" style="64" hidden="1" customWidth="1"/>
    <col min="44" max="44" width="0" style="64" hidden="1" customWidth="1"/>
    <col min="45" max="45" width="14.28515625" style="64" hidden="1" customWidth="1"/>
    <col min="46" max="46" width="0" style="64" hidden="1" customWidth="1"/>
    <col min="47" max="47" width="14.28515625" style="64" hidden="1" customWidth="1"/>
    <col min="48" max="48" width="0" style="64" hidden="1" customWidth="1"/>
    <col min="49" max="49" width="14.28515625" style="64" hidden="1" customWidth="1"/>
    <col min="50" max="50" width="0" style="64" hidden="1" customWidth="1"/>
    <col min="51" max="51" width="13.140625" style="64" hidden="1" customWidth="1"/>
    <col min="52" max="52" width="0" style="64" hidden="1" customWidth="1"/>
    <col min="53" max="53" width="1.7109375" style="64" hidden="1" customWidth="1"/>
    <col min="54" max="54" width="0" style="64" hidden="1" customWidth="1"/>
    <col min="55" max="55" width="1.7109375" style="64" hidden="1" customWidth="1"/>
    <col min="56" max="56" width="0" style="64" hidden="1" customWidth="1"/>
    <col min="57" max="57" width="1.7109375" style="64" hidden="1" customWidth="1"/>
    <col min="58" max="58" width="14.28515625" style="64" hidden="1" customWidth="1"/>
    <col min="59" max="59" width="0" style="64" hidden="1" customWidth="1"/>
    <col min="60" max="60" width="11" style="64" hidden="1" customWidth="1"/>
    <col min="61" max="61" width="9.85546875" style="64" hidden="1" customWidth="1"/>
    <col min="62" max="62" width="12.5703125" style="64" hidden="1" customWidth="1"/>
    <col min="63" max="63" width="9.85546875" style="64" hidden="1" customWidth="1"/>
    <col min="64" max="16384" width="9.140625" style="64"/>
  </cols>
  <sheetData>
    <row r="1" spans="1:43">
      <c r="A1" s="61"/>
      <c r="B1" s="62"/>
      <c r="C1" s="62"/>
      <c r="D1" s="62"/>
      <c r="E1" s="62"/>
      <c r="F1" s="62"/>
      <c r="G1" s="62"/>
      <c r="H1" s="62"/>
      <c r="I1" s="62"/>
      <c r="J1" s="62"/>
      <c r="K1" s="63"/>
      <c r="V1" s="65" t="str">
        <f>informatieblad!F12&amp;" "&amp;informatieblad!D20</f>
        <v>Total aantal of Sprongstukken  (RctJ)</v>
      </c>
      <c r="W1" s="62"/>
      <c r="X1" s="62"/>
      <c r="Y1" s="62"/>
      <c r="Z1" s="62"/>
      <c r="AA1" s="353">
        <f>C24+C28+C32+C36+C40+C44+C48+C52+C56+C60+C64+C68+C72+C76+C80+C84+C88+C92+C96+C100+C104+C108+C112+C116+C120+C124+C128+C132+C136+C140</f>
        <v>0</v>
      </c>
    </row>
    <row r="2" spans="1:43">
      <c r="A2" s="67"/>
      <c r="K2" s="68"/>
      <c r="V2" s="69" t="str">
        <f>informatieblad!F13</f>
        <v>Total purchase price</v>
      </c>
      <c r="AA2" s="343">
        <f>AA22+AA26+AA30+AA34+AA38+AA42+AA46+AA50+AA54+AA58+AA62+AA66+AA70+AA74+AA78+AA82+AA86+AA90+AA94+AA98+AA102+AA106+AA110+AA114+AA118+AA122+AA126+AA130+AA134+AA138</f>
        <v>0</v>
      </c>
    </row>
    <row r="3" spans="1:43" ht="15" thickBot="1">
      <c r="A3" s="67"/>
      <c r="K3" s="68"/>
      <c r="V3" s="71" t="str">
        <f>informatieblad!F14</f>
        <v>Total sales price</v>
      </c>
      <c r="W3" s="72"/>
      <c r="X3" s="72"/>
      <c r="Y3" s="72"/>
      <c r="Z3" s="72"/>
      <c r="AA3" s="238">
        <f>AB22+AB26+AB30+AB34+AB38+AB42+AB46+AB50+AB54+AB58+AB62+AB66+AB70+AB74+AB78+AB82+AB86+AB90+AB94+AB98+AB102+AB106+AB110+AB114+AB118+AB122+AB126+AB130+AB134+AB138</f>
        <v>0</v>
      </c>
    </row>
    <row r="4" spans="1:43">
      <c r="A4" s="67"/>
      <c r="I4" s="124"/>
      <c r="K4" s="433" t="str">
        <f>informatieblad!D20</f>
        <v>Sprongstukken  (RctJ)</v>
      </c>
    </row>
    <row r="5" spans="1:43">
      <c r="A5" s="67"/>
      <c r="I5" s="124"/>
      <c r="K5" s="68"/>
    </row>
    <row r="6" spans="1:43">
      <c r="A6" s="67"/>
      <c r="I6" s="75"/>
      <c r="K6" s="68"/>
    </row>
    <row r="7" spans="1:43">
      <c r="A7" s="67"/>
      <c r="I7" s="64" t="s">
        <v>99</v>
      </c>
      <c r="K7" s="294">
        <v>30</v>
      </c>
    </row>
    <row r="8" spans="1:43">
      <c r="A8" s="67"/>
      <c r="I8" s="64" t="s">
        <v>98</v>
      </c>
      <c r="K8" s="294">
        <v>30</v>
      </c>
    </row>
    <row r="9" spans="1:43">
      <c r="A9" s="67"/>
      <c r="K9" s="68"/>
    </row>
    <row r="10" spans="1:43">
      <c r="A10" s="67"/>
      <c r="K10" s="68"/>
    </row>
    <row r="11" spans="1:43">
      <c r="A11" s="67"/>
      <c r="K11" s="68"/>
    </row>
    <row r="12" spans="1:43">
      <c r="A12" s="67"/>
      <c r="K12" s="68"/>
    </row>
    <row r="13" spans="1:43" ht="15" thickBot="1">
      <c r="A13" s="76"/>
      <c r="B13" s="72"/>
      <c r="C13" s="72"/>
      <c r="D13" s="72"/>
      <c r="E13" s="72"/>
      <c r="F13" s="72"/>
      <c r="G13" s="72"/>
      <c r="H13" s="72"/>
      <c r="I13" s="72"/>
      <c r="J13" s="72"/>
      <c r="K13" s="77"/>
    </row>
    <row r="14" spans="1:43" ht="5.0999999999999996" customHeight="1" thickBot="1">
      <c r="A14" s="67"/>
      <c r="K14" s="68"/>
    </row>
    <row r="15" spans="1:43" ht="15" thickBot="1">
      <c r="A15" s="78" t="s">
        <v>14</v>
      </c>
      <c r="B15" s="79" t="s">
        <v>72</v>
      </c>
      <c r="C15" s="79" t="s">
        <v>73</v>
      </c>
      <c r="D15" s="79" t="s">
        <v>74</v>
      </c>
      <c r="E15" s="79" t="s">
        <v>75</v>
      </c>
      <c r="F15" s="79" t="s">
        <v>101</v>
      </c>
      <c r="G15" s="79" t="s">
        <v>102</v>
      </c>
      <c r="H15" s="79" t="s">
        <v>77</v>
      </c>
      <c r="I15" s="79" t="s">
        <v>78</v>
      </c>
      <c r="J15" s="79" t="s">
        <v>79</v>
      </c>
      <c r="K15" s="125" t="s">
        <v>17</v>
      </c>
      <c r="L15" s="280" t="s">
        <v>18</v>
      </c>
    </row>
    <row r="16" spans="1:43" ht="15" thickBot="1">
      <c r="A16" s="464" t="s">
        <v>19</v>
      </c>
      <c r="B16" s="126">
        <v>500</v>
      </c>
      <c r="C16" s="126">
        <v>250</v>
      </c>
      <c r="D16" s="126">
        <v>600</v>
      </c>
      <c r="E16" s="126">
        <v>250</v>
      </c>
      <c r="F16" s="126">
        <v>30</v>
      </c>
      <c r="G16" s="126">
        <v>30</v>
      </c>
      <c r="H16" s="126">
        <v>300</v>
      </c>
      <c r="I16" s="128">
        <v>0</v>
      </c>
      <c r="J16" s="129">
        <v>0</v>
      </c>
      <c r="K16" s="130">
        <v>753</v>
      </c>
      <c r="L16" s="345" t="s">
        <v>20</v>
      </c>
      <c r="V16" s="131"/>
      <c r="W16" s="132"/>
      <c r="X16" s="132"/>
      <c r="Y16" s="131"/>
      <c r="Z16" s="131"/>
      <c r="AA16" s="131"/>
      <c r="AB16" s="131"/>
      <c r="AC16" s="131"/>
      <c r="AD16" s="131"/>
      <c r="AE16" s="131"/>
      <c r="AF16" s="133"/>
      <c r="AG16" s="133"/>
      <c r="AH16" s="133"/>
      <c r="AI16" s="133"/>
      <c r="AJ16" s="133"/>
      <c r="AK16" s="133"/>
      <c r="AL16" s="133"/>
      <c r="AM16" s="133"/>
      <c r="AN16" s="131"/>
      <c r="AO16" s="131"/>
      <c r="AP16" s="131"/>
      <c r="AQ16" s="131"/>
    </row>
    <row r="17" spans="1:63" ht="15">
      <c r="A17" s="465"/>
      <c r="B17" s="460" t="s">
        <v>80</v>
      </c>
      <c r="C17" s="460"/>
      <c r="D17" s="460" t="s">
        <v>80</v>
      </c>
      <c r="E17" s="460"/>
      <c r="F17" s="134" t="s">
        <v>171</v>
      </c>
      <c r="G17" s="134"/>
      <c r="H17" s="88"/>
      <c r="I17" s="469" t="s">
        <v>82</v>
      </c>
      <c r="J17" s="518"/>
      <c r="K17" s="135">
        <v>753</v>
      </c>
      <c r="L17" s="83"/>
      <c r="V17" s="83"/>
      <c r="W17" s="136"/>
      <c r="X17" s="136"/>
      <c r="Y17" s="136"/>
      <c r="Z17" s="136"/>
      <c r="AA17" s="136"/>
      <c r="AB17" s="83"/>
      <c r="AC17" s="83"/>
      <c r="AD17" s="83"/>
      <c r="AE17" s="83"/>
      <c r="AF17" s="136"/>
      <c r="AG17" s="136"/>
      <c r="AH17" s="75"/>
      <c r="AI17" s="75"/>
      <c r="AJ17" s="75"/>
      <c r="AK17" s="75"/>
      <c r="AL17" s="75"/>
      <c r="AM17" s="75"/>
      <c r="AN17" s="136"/>
      <c r="AO17" s="136"/>
      <c r="AP17" s="83"/>
      <c r="AQ17" s="83"/>
    </row>
    <row r="18" spans="1:63" ht="15.75" thickBot="1">
      <c r="A18" s="466"/>
      <c r="B18" s="137" t="s">
        <v>23</v>
      </c>
      <c r="C18" s="138">
        <v>1</v>
      </c>
      <c r="D18" s="139"/>
      <c r="E18" s="140">
        <v>1.73</v>
      </c>
      <c r="F18" s="141" t="s">
        <v>24</v>
      </c>
      <c r="G18" s="293"/>
      <c r="H18" s="461" t="s">
        <v>25</v>
      </c>
      <c r="I18" s="462"/>
      <c r="J18" s="462"/>
      <c r="K18" s="463"/>
      <c r="L18" s="176"/>
      <c r="V18" s="83"/>
      <c r="W18" s="142"/>
      <c r="X18" s="142"/>
      <c r="Y18" s="83"/>
      <c r="Z18" s="83"/>
      <c r="AA18" s="143"/>
      <c r="AB18" s="143"/>
      <c r="AC18" s="143"/>
      <c r="AD18" s="143"/>
      <c r="AE18" s="143"/>
      <c r="AF18" s="83"/>
      <c r="AG18" s="83"/>
      <c r="AH18" s="83"/>
      <c r="AI18" s="83"/>
      <c r="AJ18" s="83"/>
      <c r="AK18" s="83"/>
      <c r="AL18" s="83"/>
      <c r="AM18" s="83"/>
      <c r="AN18" s="144"/>
      <c r="AO18" s="144"/>
      <c r="AP18" s="142"/>
      <c r="AQ18" s="142"/>
    </row>
    <row r="19" spans="1:63" ht="5.0999999999999996" customHeight="1" thickBot="1">
      <c r="A19" s="145"/>
      <c r="B19" s="122"/>
      <c r="C19" s="122"/>
      <c r="D19" s="122"/>
      <c r="E19" s="122"/>
      <c r="F19" s="122"/>
      <c r="G19" s="122"/>
      <c r="H19" s="122"/>
      <c r="I19" s="122"/>
      <c r="J19" s="122"/>
      <c r="K19" s="146"/>
    </row>
    <row r="20" spans="1:63" ht="15" customHeight="1" thickBot="1">
      <c r="A20" s="445"/>
      <c r="B20" s="147"/>
      <c r="C20" s="147"/>
      <c r="D20" s="147"/>
      <c r="E20" s="147">
        <f>C20</f>
        <v>0</v>
      </c>
      <c r="F20" s="147">
        <f>(B20&gt;0)*$K$7</f>
        <v>0</v>
      </c>
      <c r="G20" s="147">
        <f>(B20&gt;0)*$K$8</f>
        <v>0</v>
      </c>
      <c r="H20" s="147"/>
      <c r="I20" s="149">
        <f>(C20-E20)/2</f>
        <v>0</v>
      </c>
      <c r="J20" s="150">
        <f>(C20-E20)-I20</f>
        <v>0</v>
      </c>
      <c r="K20" s="151"/>
      <c r="L20" s="345" t="s">
        <v>20</v>
      </c>
      <c r="M20" s="152"/>
      <c r="V20" s="97" t="s">
        <v>14</v>
      </c>
      <c r="W20" s="98" t="s">
        <v>27</v>
      </c>
      <c r="X20" s="98" t="s">
        <v>28</v>
      </c>
      <c r="Y20" s="98" t="s">
        <v>27</v>
      </c>
      <c r="Z20" s="98" t="s">
        <v>28</v>
      </c>
      <c r="AA20" s="98" t="s">
        <v>29</v>
      </c>
      <c r="AB20" s="66" t="s">
        <v>30</v>
      </c>
      <c r="AC20" s="153" t="s">
        <v>31</v>
      </c>
      <c r="AD20" s="153"/>
      <c r="AE20" s="153"/>
      <c r="AF20" s="154" t="s">
        <v>83</v>
      </c>
      <c r="AG20" s="100" t="s">
        <v>83</v>
      </c>
      <c r="AH20" s="100" t="s">
        <v>83</v>
      </c>
      <c r="AI20" s="100" t="s">
        <v>83</v>
      </c>
      <c r="AJ20" s="98" t="s">
        <v>84</v>
      </c>
      <c r="AK20" s="98" t="s">
        <v>85</v>
      </c>
      <c r="AL20" s="100" t="s">
        <v>86</v>
      </c>
      <c r="AM20" s="100" t="s">
        <v>34</v>
      </c>
      <c r="AN20" s="98" t="s">
        <v>32</v>
      </c>
      <c r="AO20" s="98" t="s">
        <v>32</v>
      </c>
      <c r="AP20" s="98" t="s">
        <v>35</v>
      </c>
      <c r="AQ20" s="101" t="s">
        <v>36</v>
      </c>
      <c r="AS20" s="97" t="str">
        <f>informatieblad!$A$6</f>
        <v>FL20</v>
      </c>
      <c r="AT20" s="99"/>
      <c r="AU20" s="97" t="str">
        <f>informatieblad!$A$7</f>
        <v>FL30</v>
      </c>
      <c r="AV20" s="66"/>
      <c r="AW20" s="99" t="str">
        <f>informatieblad!$A$8</f>
        <v>FL40</v>
      </c>
      <c r="AX20" s="66"/>
      <c r="AY20" s="97" t="str">
        <f>informatieblad!$A$5</f>
        <v>none</v>
      </c>
      <c r="AZ20" s="264"/>
      <c r="BB20" s="266" t="s">
        <v>17</v>
      </c>
      <c r="BD20" s="266" t="s">
        <v>37</v>
      </c>
      <c r="BF20" s="269" t="s">
        <v>38</v>
      </c>
      <c r="BG20" s="272"/>
      <c r="BH20" s="272">
        <f>informatieblad!$B$3</f>
        <v>0</v>
      </c>
      <c r="BI20" s="272">
        <f>informatieblad!$B$3</f>
        <v>0</v>
      </c>
      <c r="BJ20" s="272">
        <f>informatieblad!$B$4</f>
        <v>0</v>
      </c>
      <c r="BK20" s="264">
        <f>informatieblad!$B$4</f>
        <v>0</v>
      </c>
    </row>
    <row r="21" spans="1:63" ht="15.75" customHeight="1">
      <c r="A21" s="467"/>
      <c r="B21" s="471" t="str">
        <f>IF($B20&gt;0,IF(MAX(B20:C20)&lt;informatieblad!$Q$4,informatieblad!$P$3,IF(MAX(B20:C20)&gt;informatieblad!$R$4,informatieblad!$P$5,informatieblad!$P$4)),"")</f>
        <v/>
      </c>
      <c r="C21" s="472"/>
      <c r="D21" s="471" t="str">
        <f>IF($B20&gt;0,IF(MAX(D20:E20)&lt;informatieblad!$Q$4,informatieblad!$P$3,IF(MAX(D20:E20)&gt;informatieblad!$R$4,informatieblad!$P$5,informatieblad!$P$4)),"")</f>
        <v/>
      </c>
      <c r="E21" s="472"/>
      <c r="F21" s="134" t="str">
        <f>A20&amp;"-"&amp;informatieblad!$B$20&amp;"-"&amp;B20&amp;"-"&amp;C20&amp;"-"&amp;D20&amp;"-"&amp;E20&amp;"-"&amp;F20&amp;"-"&amp;G20&amp;"-"&amp;H20&amp;"-"&amp;I20&amp;"-"&amp;J20&amp;"-"&amp;K20&amp;"-"&amp;B21&amp;"-"&amp;H22</f>
        <v>-RctJ----0-0-0--0-0---Options None</v>
      </c>
      <c r="G21" s="134"/>
      <c r="H21" s="88"/>
      <c r="I21" s="469" t="s">
        <v>82</v>
      </c>
      <c r="J21" s="470"/>
      <c r="K21" s="135" t="str">
        <f>(IF($B20&gt;0,(IF(300&gt;(MAX(AI22,H20))*1.732,300,(MAX(AI22,H20))*1.732)+F20+G20),""))</f>
        <v/>
      </c>
      <c r="L21" s="83"/>
      <c r="V21" s="103">
        <f>A20</f>
        <v>0</v>
      </c>
      <c r="W21" s="104" t="s">
        <v>39</v>
      </c>
      <c r="X21" s="104" t="s">
        <v>39</v>
      </c>
      <c r="Y21" s="104" t="s">
        <v>40</v>
      </c>
      <c r="Z21" s="104" t="s">
        <v>40</v>
      </c>
      <c r="AA21" s="104" t="s">
        <v>40</v>
      </c>
      <c r="AB21" s="105"/>
      <c r="AC21" s="155" t="s">
        <v>27</v>
      </c>
      <c r="AD21" s="155" t="s">
        <v>40</v>
      </c>
      <c r="AE21" s="155" t="s">
        <v>41</v>
      </c>
      <c r="AF21" s="156" t="s">
        <v>87</v>
      </c>
      <c r="AG21" s="104" t="s">
        <v>88</v>
      </c>
      <c r="AH21" s="104"/>
      <c r="AI21" s="136" t="s">
        <v>172</v>
      </c>
      <c r="AK21" s="136" t="s">
        <v>87</v>
      </c>
      <c r="AL21" s="136" t="s">
        <v>88</v>
      </c>
      <c r="AM21" s="107"/>
      <c r="AN21" s="104" t="s">
        <v>40</v>
      </c>
      <c r="AO21" s="104" t="s">
        <v>41</v>
      </c>
      <c r="AP21" s="108"/>
      <c r="AQ21" s="109"/>
      <c r="AS21" s="262" t="str">
        <f>informatieblad!$A$2</f>
        <v>FL20 loose</v>
      </c>
      <c r="AT21" s="263"/>
      <c r="AU21" s="262" t="str">
        <f>informatieblad!$A$3</f>
        <v>FL30 loose</v>
      </c>
      <c r="AV21" s="105"/>
      <c r="AW21" s="263" t="str">
        <f>informatieblad!$A$4</f>
        <v>FL40 loose</v>
      </c>
      <c r="AX21" s="105"/>
      <c r="AY21" s="265"/>
      <c r="AZ21" s="105"/>
      <c r="BB21" s="267"/>
      <c r="BD21" s="267"/>
      <c r="BF21" s="265" t="s">
        <v>47</v>
      </c>
      <c r="BG21" s="106" t="s">
        <v>48</v>
      </c>
      <c r="BH21" s="83" t="s">
        <v>23</v>
      </c>
      <c r="BI21" s="83" t="s">
        <v>23</v>
      </c>
      <c r="BJ21" s="83" t="s">
        <v>23</v>
      </c>
      <c r="BK21" s="273" t="s">
        <v>23</v>
      </c>
    </row>
    <row r="22" spans="1:63" ht="15.75" customHeight="1" thickBot="1">
      <c r="A22" s="468"/>
      <c r="B22" s="137" t="s">
        <v>23</v>
      </c>
      <c r="C22" s="157"/>
      <c r="D22" s="139"/>
      <c r="E22" s="140">
        <f>C22*X22</f>
        <v>0</v>
      </c>
      <c r="F22" s="141" t="s">
        <v>24</v>
      </c>
      <c r="G22" s="200"/>
      <c r="H22" s="461" t="s">
        <v>25</v>
      </c>
      <c r="I22" s="473"/>
      <c r="J22" s="473"/>
      <c r="K22" s="474"/>
      <c r="L22" s="176"/>
      <c r="Q22" s="152"/>
      <c r="V22" s="111"/>
      <c r="W22" s="112">
        <f>(((2*(C20+D20+H20))*K20)/1000000)</f>
        <v>0</v>
      </c>
      <c r="X22" s="112">
        <f>((IF(W22&lt;=informatieblad!$I$20,informatieblad!$I$20,IF(W22&gt;=informatieblad!$I$20,W22))))</f>
        <v>0.5</v>
      </c>
      <c r="Y22" s="158">
        <f>ROUND((((2*(C20+D20+H20))*K20)/1000000),2)</f>
        <v>0</v>
      </c>
      <c r="Z22" s="112">
        <f>((IF(Y22&lt;=informatieblad!$H$13,informatieblad!$H$13,IF(Y22&gt;=informatieblad!$H$13,Y22))))</f>
        <v>0</v>
      </c>
      <c r="AA22" s="113">
        <f>((Z22*AN22)+(Z22*AD22))*C22</f>
        <v>0</v>
      </c>
      <c r="AB22" s="114">
        <f>((X22*AO22)+(X22*AE22))*C22</f>
        <v>0</v>
      </c>
      <c r="AC22" s="115" t="str">
        <f>H22</f>
        <v>Options None</v>
      </c>
      <c r="AD22" s="115">
        <f>VLOOKUP(H22,informatieblad!$A$37:$D$41,2,FALSE)</f>
        <v>0</v>
      </c>
      <c r="AE22" s="115">
        <f>VLOOKUP(H22,informatieblad!$A$37:$D$41,4,FALSE)</f>
        <v>0</v>
      </c>
      <c r="AF22" s="159">
        <f>(MAX(B20,D20))</f>
        <v>0</v>
      </c>
      <c r="AG22" s="160">
        <f>(MAX(C20,E20))</f>
        <v>0</v>
      </c>
      <c r="AH22" s="160">
        <f>(MAX(A20:E20))</f>
        <v>0</v>
      </c>
      <c r="AI22" s="295">
        <f>(D20+H20)-B20</f>
        <v>0</v>
      </c>
      <c r="AJ22" s="161">
        <f>(MAX(AL22,AK22))</f>
        <v>0</v>
      </c>
      <c r="AK22" s="162">
        <f>ROUND((SQRT((((MAX(F20,H20))^2)+(K20^2)))),0)</f>
        <v>0</v>
      </c>
      <c r="AL22" s="163">
        <f>ROUND((SQRT((((MAX(I20,J20))^2)+(K20^2)))),0)</f>
        <v>0</v>
      </c>
      <c r="AM22" s="119">
        <f>LOOKUP(AH22,informatieblad!$C$27:$C$32,informatieblad!$A$27:$A$32)</f>
        <v>0.5</v>
      </c>
      <c r="AN22" s="118">
        <f>VLOOKUP(AM22,informatieblad!$A$27:$M$32,6,FALSE)</f>
        <v>0</v>
      </c>
      <c r="AO22" s="118">
        <f>VLOOKUP(AM22,informatieblad!$A$27:$M$32,8,FALSE)</f>
        <v>45.1248</v>
      </c>
      <c r="AQ22" s="121">
        <f>ROUND((AP23*Z22),1)</f>
        <v>0</v>
      </c>
      <c r="AS22" s="111">
        <f>(IF(B21=AS20,((2*B20)+(2*C20)),IF(B21=AS21,((2*B20)+(2*C20)),0)))*C22</f>
        <v>0</v>
      </c>
      <c r="AT22" s="261">
        <f>(IF(D21=AS20,((2*D20)+(2*E20)),IF(D21=AS21,((2*D20)+(2*E20)),0)))*C22</f>
        <v>0</v>
      </c>
      <c r="AU22" s="111">
        <f>(IF(D21=AU20,((2*B20)+(2*C20)),IF(D21=AU21,((2*B20)+(2*C20)),0)))*C22</f>
        <v>0</v>
      </c>
      <c r="AV22" s="260">
        <f>(IF(D21=AU20,((2*D20)+(2*E20)),IF(D21=AU21,((2*D20)+(2*E20)),0)))*C22</f>
        <v>0</v>
      </c>
      <c r="AW22" s="261">
        <f>(IF(B21=AW20,((2*B20)+(2*C20)),IF(B21=AW21,((2*B20)+(2*C20)),0)))*C22</f>
        <v>0</v>
      </c>
      <c r="AX22" s="260">
        <f>(IF(D21=AW20,((2*D20)+(2*E20)),IF(D21=AW21,((2*D20)+(2*E20)),0)))*C22</f>
        <v>0</v>
      </c>
      <c r="AY22" s="111">
        <f>(IF(B21=AY20,((2*B20)+(2*C20)),0))*C22</f>
        <v>0</v>
      </c>
      <c r="AZ22" s="260">
        <f>(IF(D21=AY20,((2*D20)+(2*E20)),0))*C22</f>
        <v>0</v>
      </c>
      <c r="BB22" s="268">
        <f>K20*C22</f>
        <v>0</v>
      </c>
      <c r="BD22" s="268">
        <f>(AF22+100)*C22</f>
        <v>0</v>
      </c>
      <c r="BF22" s="111" t="str">
        <f>IF(B21=informatieblad!$A$6,informatieblad!$B$6,IF(B21=informatieblad!$A$7,informatieblad!$B$7,IF(B21=informatieblad!$A$8,informatieblad!$B$8,IF(B21=informatieblad!$A$2,informatieblad!$B$2,IF(B21=informatieblad!$A$3,informatieblad!$B$3,IF(B21=informatieblad!$A$4,informatieblad!$B$4,IF(B21=informatieblad!$A$5,informatieblad!$B$5,"")))))))</f>
        <v/>
      </c>
      <c r="BG22" s="275" t="str">
        <f>IF(D21=informatieblad!$A$6,informatieblad!$B$6,IF(D21=informatieblad!$A$7,informatieblad!$B$7,IF(D21=informatieblad!$A$8,informatieblad!$B$8,IF(D21=informatieblad!$A$2,informatieblad!$B$2,IF(D21=informatieblad!$A$3,informatieblad!$B$3,IF(D21=informatieblad!$A$4,informatieblad!$B$4,IF(D21=informatieblad!$A$5,informatieblad!$B$5,"")))))))</f>
        <v/>
      </c>
      <c r="BH22" s="276">
        <f>IF(BF22=BH20,(4*C22),0)</f>
        <v>0</v>
      </c>
      <c r="BI22" s="276">
        <f>IF(BG22=BH20,(4*C22),0)</f>
        <v>0</v>
      </c>
      <c r="BJ22" s="276">
        <f>IF(BF22=BJ20,(4*C22),0)</f>
        <v>0</v>
      </c>
      <c r="BK22" s="274">
        <f>IF(BG22=BJ20,(4*C22),0)</f>
        <v>0</v>
      </c>
    </row>
    <row r="23" spans="1:63" ht="5.0999999999999996" customHeight="1" thickBot="1">
      <c r="A23" s="145"/>
      <c r="B23" s="122"/>
      <c r="C23" s="122"/>
      <c r="D23" s="122"/>
      <c r="E23" s="122"/>
      <c r="F23" s="122"/>
      <c r="G23" s="122"/>
      <c r="H23" s="122"/>
      <c r="I23" s="122"/>
      <c r="J23" s="122"/>
      <c r="K23" s="146"/>
      <c r="AP23" s="120">
        <f>VLOOKUP(AM22,informatieblad!$A$27:$M$32,13,FALSE)</f>
        <v>4</v>
      </c>
    </row>
    <row r="24" spans="1:63" ht="13.5" customHeight="1" thickBot="1">
      <c r="A24" s="445"/>
      <c r="B24" s="147"/>
      <c r="C24" s="147"/>
      <c r="D24" s="147"/>
      <c r="E24" s="147">
        <f>C24</f>
        <v>0</v>
      </c>
      <c r="F24" s="147">
        <f>(B24&gt;0)*$K$7</f>
        <v>0</v>
      </c>
      <c r="G24" s="147">
        <f>(B24&gt;0)*$K$8</f>
        <v>0</v>
      </c>
      <c r="H24" s="147"/>
      <c r="I24" s="149">
        <f>(C24-E24)/2</f>
        <v>0</v>
      </c>
      <c r="J24" s="150">
        <f>(C24-E24)-I24</f>
        <v>0</v>
      </c>
      <c r="K24" s="151"/>
      <c r="L24" s="345" t="s">
        <v>20</v>
      </c>
      <c r="V24" s="97" t="s">
        <v>14</v>
      </c>
      <c r="W24" s="98" t="s">
        <v>27</v>
      </c>
      <c r="X24" s="98" t="s">
        <v>28</v>
      </c>
      <c r="Y24" s="98" t="s">
        <v>27</v>
      </c>
      <c r="Z24" s="98" t="s">
        <v>28</v>
      </c>
      <c r="AA24" s="98" t="s">
        <v>29</v>
      </c>
      <c r="AB24" s="66" t="s">
        <v>30</v>
      </c>
      <c r="AC24" s="153" t="s">
        <v>31</v>
      </c>
      <c r="AD24" s="153"/>
      <c r="AE24" s="153"/>
      <c r="AF24" s="154" t="s">
        <v>83</v>
      </c>
      <c r="AG24" s="100" t="s">
        <v>83</v>
      </c>
      <c r="AH24" s="100" t="s">
        <v>83</v>
      </c>
      <c r="AI24" s="100" t="s">
        <v>83</v>
      </c>
      <c r="AJ24" s="98" t="s">
        <v>84</v>
      </c>
      <c r="AK24" s="98" t="s">
        <v>85</v>
      </c>
      <c r="AL24" s="100" t="s">
        <v>86</v>
      </c>
      <c r="AM24" s="100" t="s">
        <v>34</v>
      </c>
      <c r="AN24" s="98" t="s">
        <v>32</v>
      </c>
      <c r="AO24" s="98" t="s">
        <v>32</v>
      </c>
      <c r="AP24" s="98" t="s">
        <v>35</v>
      </c>
      <c r="AQ24" s="101" t="s">
        <v>36</v>
      </c>
      <c r="AS24" s="97" t="str">
        <f>informatieblad!$A$6</f>
        <v>FL20</v>
      </c>
      <c r="AT24" s="99"/>
      <c r="AU24" s="97" t="str">
        <f>informatieblad!$A$7</f>
        <v>FL30</v>
      </c>
      <c r="AV24" s="66"/>
      <c r="AW24" s="99" t="str">
        <f>informatieblad!$A$8</f>
        <v>FL40</v>
      </c>
      <c r="AX24" s="66"/>
      <c r="AY24" s="97" t="str">
        <f>informatieblad!$A$5</f>
        <v>none</v>
      </c>
      <c r="AZ24" s="264"/>
      <c r="BB24" s="266" t="s">
        <v>17</v>
      </c>
      <c r="BD24" s="266" t="s">
        <v>37</v>
      </c>
      <c r="BF24" s="269" t="s">
        <v>38</v>
      </c>
      <c r="BG24" s="272"/>
      <c r="BH24" s="272">
        <f>informatieblad!$B$3</f>
        <v>0</v>
      </c>
      <c r="BI24" s="272">
        <f>informatieblad!$B$3</f>
        <v>0</v>
      </c>
      <c r="BJ24" s="272">
        <f>informatieblad!$B$4</f>
        <v>0</v>
      </c>
      <c r="BK24" s="264">
        <f>informatieblad!$B$4</f>
        <v>0</v>
      </c>
    </row>
    <row r="25" spans="1:63" ht="14.25" customHeight="1">
      <c r="A25" s="475"/>
      <c r="B25" s="471" t="str">
        <f>IF($B24&gt;0,IF(MAX(B24:C24)&lt;informatieblad!$Q$4,informatieblad!$P$3,IF(MAX(B24:C24)&gt;informatieblad!$R$4,informatieblad!$P$5,informatieblad!$P$4)),"")</f>
        <v/>
      </c>
      <c r="C25" s="472"/>
      <c r="D25" s="471" t="str">
        <f>IF($B24&gt;0,IF(MAX(D24:E24)&lt;informatieblad!$Q$4,informatieblad!$P$3,IF(MAX(D24:E24)&gt;informatieblad!$R$4,informatieblad!$P$5,informatieblad!$P$4)),"")</f>
        <v/>
      </c>
      <c r="E25" s="472"/>
      <c r="F25" s="134" t="str">
        <f>A24&amp;"-"&amp;informatieblad!$B$20&amp;"-"&amp;B24&amp;"-"&amp;C24&amp;"-"&amp;D24&amp;"-"&amp;E24&amp;"-"&amp;F24&amp;"-"&amp;G24&amp;"-"&amp;H24&amp;"-"&amp;I24&amp;"-"&amp;J24&amp;"-"&amp;K24&amp;"-"&amp;B25&amp;"-"&amp;H26</f>
        <v>-RctJ----0-0-0--0-0---Options None</v>
      </c>
      <c r="G25" s="134"/>
      <c r="H25" s="88"/>
      <c r="I25" s="469" t="s">
        <v>82</v>
      </c>
      <c r="J25" s="470"/>
      <c r="K25" s="135" t="str">
        <f>(IF($B24&gt;0,(IF(300&gt;(MAX(AI26,H24))*1.732,300,(MAX(AI26,H24))*1.732)+F24+G24),""))</f>
        <v/>
      </c>
      <c r="L25" s="83"/>
      <c r="V25" s="103">
        <f>A24</f>
        <v>0</v>
      </c>
      <c r="W25" s="104" t="s">
        <v>39</v>
      </c>
      <c r="X25" s="104" t="s">
        <v>39</v>
      </c>
      <c r="Y25" s="104" t="s">
        <v>40</v>
      </c>
      <c r="Z25" s="104" t="s">
        <v>40</v>
      </c>
      <c r="AA25" s="104" t="s">
        <v>40</v>
      </c>
      <c r="AB25" s="105"/>
      <c r="AC25" s="155" t="s">
        <v>27</v>
      </c>
      <c r="AD25" s="155" t="s">
        <v>40</v>
      </c>
      <c r="AE25" s="155" t="s">
        <v>41</v>
      </c>
      <c r="AF25" s="156" t="s">
        <v>87</v>
      </c>
      <c r="AG25" s="104" t="s">
        <v>88</v>
      </c>
      <c r="AH25" s="104"/>
      <c r="AI25" s="136" t="s">
        <v>172</v>
      </c>
      <c r="AK25" s="136" t="s">
        <v>87</v>
      </c>
      <c r="AL25" s="136" t="s">
        <v>88</v>
      </c>
      <c r="AM25" s="107"/>
      <c r="AN25" s="104" t="s">
        <v>40</v>
      </c>
      <c r="AO25" s="104" t="s">
        <v>41</v>
      </c>
      <c r="AP25" s="108"/>
      <c r="AQ25" s="109"/>
      <c r="AS25" s="262" t="str">
        <f>informatieblad!$A$2</f>
        <v>FL20 loose</v>
      </c>
      <c r="AT25" s="263"/>
      <c r="AU25" s="262" t="str">
        <f>informatieblad!$A$3</f>
        <v>FL30 loose</v>
      </c>
      <c r="AV25" s="105"/>
      <c r="AW25" s="263" t="str">
        <f>informatieblad!$A$4</f>
        <v>FL40 loose</v>
      </c>
      <c r="AX25" s="105"/>
      <c r="AY25" s="265"/>
      <c r="AZ25" s="105"/>
      <c r="BB25" s="267"/>
      <c r="BD25" s="267"/>
      <c r="BF25" s="265" t="s">
        <v>47</v>
      </c>
      <c r="BG25" s="106" t="s">
        <v>48</v>
      </c>
      <c r="BH25" s="83" t="s">
        <v>23</v>
      </c>
      <c r="BI25" s="83" t="s">
        <v>23</v>
      </c>
      <c r="BJ25" s="83" t="s">
        <v>23</v>
      </c>
      <c r="BK25" s="273" t="s">
        <v>23</v>
      </c>
    </row>
    <row r="26" spans="1:63" ht="13.9" customHeight="1" thickBot="1">
      <c r="A26" s="476"/>
      <c r="B26" s="137" t="s">
        <v>23</v>
      </c>
      <c r="C26" s="157"/>
      <c r="D26" s="139"/>
      <c r="E26" s="140">
        <f>C26*X26</f>
        <v>0</v>
      </c>
      <c r="F26" s="141" t="s">
        <v>24</v>
      </c>
      <c r="G26" s="293"/>
      <c r="H26" s="461" t="s">
        <v>25</v>
      </c>
      <c r="I26" s="473"/>
      <c r="J26" s="473"/>
      <c r="K26" s="474"/>
      <c r="L26" s="176"/>
      <c r="V26" s="111"/>
      <c r="W26" s="112">
        <f>(((2*(C24+D24+H24))*K24)/1000000)</f>
        <v>0</v>
      </c>
      <c r="X26" s="112">
        <f>((IF(W26&lt;=informatieblad!$I$20,informatieblad!$I$20,IF(W26&gt;=informatieblad!$I$20,W26))))</f>
        <v>0.5</v>
      </c>
      <c r="Y26" s="158">
        <f>ROUND((((2*(C24+D24+H24))*K24)/1000000),2)</f>
        <v>0</v>
      </c>
      <c r="Z26" s="112">
        <f>((IF(Y26&lt;=informatieblad!$H$13,informatieblad!$H$13,IF(Y26&gt;=informatieblad!$H$13,Y26))))</f>
        <v>0</v>
      </c>
      <c r="AA26" s="113">
        <f>((Z26*AN26)+(Z26*AD26))*C26</f>
        <v>0</v>
      </c>
      <c r="AB26" s="114">
        <f>((X26*AO26)+(X26*AE26))*C26</f>
        <v>0</v>
      </c>
      <c r="AC26" s="115" t="str">
        <f>H26</f>
        <v>Options None</v>
      </c>
      <c r="AD26" s="115">
        <f>VLOOKUP(H26,informatieblad!$A$37:$D$41,2,FALSE)</f>
        <v>0</v>
      </c>
      <c r="AE26" s="115">
        <f>VLOOKUP(H26,informatieblad!$A$37:$D$41,4,FALSE)</f>
        <v>0</v>
      </c>
      <c r="AF26" s="159">
        <f>(MAX(B24,D24))</f>
        <v>0</v>
      </c>
      <c r="AG26" s="160">
        <f>(MAX(C24,E24))</f>
        <v>0</v>
      </c>
      <c r="AH26" s="160">
        <f>(MAX(A24:E24))</f>
        <v>0</v>
      </c>
      <c r="AI26" s="295">
        <f>(D24+H24)-B24</f>
        <v>0</v>
      </c>
      <c r="AJ26" s="161">
        <f>(MAX(AL26,AK26))</f>
        <v>0</v>
      </c>
      <c r="AK26" s="162">
        <f>ROUND((SQRT((((MAX(F24,H24))^2)+(K24^2)))),0)</f>
        <v>0</v>
      </c>
      <c r="AL26" s="163">
        <f>ROUND((SQRT((((MAX(I24,J24))^2)+(K24^2)))),0)</f>
        <v>0</v>
      </c>
      <c r="AM26" s="119">
        <f>LOOKUP(AH26,informatieblad!$C$27:$C$32,informatieblad!$A$27:$A$32)</f>
        <v>0.5</v>
      </c>
      <c r="AN26" s="118">
        <f>VLOOKUP(AM26,informatieblad!$A$27:$M$32,6,FALSE)</f>
        <v>0</v>
      </c>
      <c r="AO26" s="118">
        <f>VLOOKUP(AM26,informatieblad!$A$27:$M$32,8,FALSE)</f>
        <v>45.1248</v>
      </c>
      <c r="AP26" s="120"/>
      <c r="AQ26" s="121">
        <f>ROUND((AP27*Z26),1)</f>
        <v>0</v>
      </c>
      <c r="AS26" s="111">
        <f>(IF(B25=AS24,((2*B24)+(2*C24)),IF(B25=AS25,((2*B24)+(2*C24)),0)))*C26</f>
        <v>0</v>
      </c>
      <c r="AT26" s="261">
        <f>(IF(D25=AS24,((2*D24)+(2*E24)),IF(D25=AS25,((2*D24)+(2*E24)),0)))*C26</f>
        <v>0</v>
      </c>
      <c r="AU26" s="111">
        <f>(IF(D25=AU24,((2*B24)+(2*C24)),IF(D25=AU25,((2*B24)+(2*C24)),0)))*C26</f>
        <v>0</v>
      </c>
      <c r="AV26" s="260">
        <f>(IF(D25=AU24,((2*D24)+(2*E24)),IF(D25=AU25,((2*D24)+(2*E24)),0)))*C26</f>
        <v>0</v>
      </c>
      <c r="AW26" s="261">
        <f>(IF(B25=AW24,((2*B24)+(2*C24)),IF(B25=AW25,((2*B24)+(2*C24)),0)))*C26</f>
        <v>0</v>
      </c>
      <c r="AX26" s="260">
        <f>(IF(D25=AW24,((2*D24)+(2*E24)),IF(D25=AW25,((2*D24)+(2*E24)),0)))*C26</f>
        <v>0</v>
      </c>
      <c r="AY26" s="111">
        <f>(IF(B25=AY24,((2*B24)+(2*C24)),0))*C26</f>
        <v>0</v>
      </c>
      <c r="AZ26" s="260">
        <f>(IF(D25=AY24,((2*D24)+(2*E24)),0))*C26</f>
        <v>0</v>
      </c>
      <c r="BB26" s="268">
        <f>K24*C26</f>
        <v>0</v>
      </c>
      <c r="BD26" s="268">
        <f>(AF26+100)*C26</f>
        <v>0</v>
      </c>
      <c r="BF26" s="111" t="str">
        <f>IF(B25=informatieblad!$A$6,informatieblad!$B$6,IF(B25=informatieblad!$A$7,informatieblad!$B$7,IF(B25=informatieblad!$A$8,informatieblad!$B$8,IF(B25=informatieblad!$A$2,informatieblad!$B$2,IF(B25=informatieblad!$A$3,informatieblad!$B$3,IF(B25=informatieblad!$A$4,informatieblad!$B$4,IF(B25=informatieblad!$A$5,informatieblad!$B$5,"")))))))</f>
        <v/>
      </c>
      <c r="BG26" s="275" t="str">
        <f>IF(D25=informatieblad!$A$6,informatieblad!$B$6,IF(D25=informatieblad!$A$7,informatieblad!$B$7,IF(D25=informatieblad!$A$8,informatieblad!$B$8,IF(D25=informatieblad!$A$2,informatieblad!$B$2,IF(D25=informatieblad!$A$3,informatieblad!$B$3,IF(D25=informatieblad!$A$4,informatieblad!$B$4,IF(D25=informatieblad!$A$5,informatieblad!$B$5,"")))))))</f>
        <v/>
      </c>
      <c r="BH26" s="276">
        <f>IF(BF26=BH24,(4*C26),0)</f>
        <v>0</v>
      </c>
      <c r="BI26" s="276">
        <f>IF(BG26=BH24,(4*C26),0)</f>
        <v>0</v>
      </c>
      <c r="BJ26" s="276">
        <f>IF(BF26=BJ24,(4*C26),0)</f>
        <v>0</v>
      </c>
      <c r="BK26" s="274">
        <f>IF(BG26=BJ24,(4*C26),0)</f>
        <v>0</v>
      </c>
    </row>
    <row r="27" spans="1:63" ht="5.0999999999999996" customHeight="1" thickBot="1">
      <c r="A27" s="145"/>
      <c r="B27" s="122"/>
      <c r="C27" s="122"/>
      <c r="D27" s="122"/>
      <c r="E27" s="122"/>
      <c r="F27" s="122"/>
      <c r="G27" s="122"/>
      <c r="H27" s="122"/>
      <c r="I27" s="122"/>
      <c r="J27" s="122"/>
      <c r="K27" s="146"/>
    </row>
    <row r="28" spans="1:63" ht="15" thickBot="1">
      <c r="A28" s="445"/>
      <c r="B28" s="147"/>
      <c r="C28" s="147"/>
      <c r="D28" s="147"/>
      <c r="E28" s="147">
        <f>C28</f>
        <v>0</v>
      </c>
      <c r="F28" s="147">
        <f>(B28&gt;0)*$K$7</f>
        <v>0</v>
      </c>
      <c r="G28" s="147">
        <f>(B28&gt;0)*$K$8</f>
        <v>0</v>
      </c>
      <c r="H28" s="147"/>
      <c r="I28" s="149">
        <f>(C28-E28)/2</f>
        <v>0</v>
      </c>
      <c r="J28" s="150">
        <f>(C28-E28)-I28</f>
        <v>0</v>
      </c>
      <c r="K28" s="151"/>
      <c r="L28" s="345" t="s">
        <v>20</v>
      </c>
      <c r="V28" s="97" t="s">
        <v>14</v>
      </c>
      <c r="W28" s="98" t="s">
        <v>27</v>
      </c>
      <c r="X28" s="98" t="s">
        <v>28</v>
      </c>
      <c r="Y28" s="98" t="s">
        <v>27</v>
      </c>
      <c r="Z28" s="98" t="s">
        <v>28</v>
      </c>
      <c r="AA28" s="98" t="s">
        <v>29</v>
      </c>
      <c r="AB28" s="66" t="s">
        <v>30</v>
      </c>
      <c r="AC28" s="153" t="s">
        <v>31</v>
      </c>
      <c r="AD28" s="153"/>
      <c r="AE28" s="153"/>
      <c r="AF28" s="154" t="s">
        <v>83</v>
      </c>
      <c r="AG28" s="100" t="s">
        <v>83</v>
      </c>
      <c r="AH28" s="100" t="s">
        <v>83</v>
      </c>
      <c r="AI28" s="100" t="s">
        <v>83</v>
      </c>
      <c r="AJ28" s="98" t="s">
        <v>84</v>
      </c>
      <c r="AK28" s="98" t="s">
        <v>85</v>
      </c>
      <c r="AL28" s="100" t="s">
        <v>86</v>
      </c>
      <c r="AM28" s="100" t="s">
        <v>34</v>
      </c>
      <c r="AN28" s="98" t="s">
        <v>32</v>
      </c>
      <c r="AO28" s="98" t="s">
        <v>32</v>
      </c>
      <c r="AP28" s="98" t="s">
        <v>35</v>
      </c>
      <c r="AQ28" s="101" t="s">
        <v>36</v>
      </c>
      <c r="AS28" s="97" t="str">
        <f>informatieblad!$A$6</f>
        <v>FL20</v>
      </c>
      <c r="AT28" s="99"/>
      <c r="AU28" s="97" t="str">
        <f>informatieblad!$A$7</f>
        <v>FL30</v>
      </c>
      <c r="AV28" s="66"/>
      <c r="AW28" s="99" t="str">
        <f>informatieblad!$A$8</f>
        <v>FL40</v>
      </c>
      <c r="AX28" s="66"/>
      <c r="AY28" s="97" t="str">
        <f>informatieblad!$A$5</f>
        <v>none</v>
      </c>
      <c r="AZ28" s="264"/>
      <c r="BB28" s="266" t="s">
        <v>17</v>
      </c>
      <c r="BD28" s="266" t="s">
        <v>37</v>
      </c>
      <c r="BF28" s="269" t="s">
        <v>38</v>
      </c>
      <c r="BG28" s="272"/>
      <c r="BH28" s="272">
        <f>informatieblad!$B$3</f>
        <v>0</v>
      </c>
      <c r="BI28" s="272">
        <f>informatieblad!$B$3</f>
        <v>0</v>
      </c>
      <c r="BJ28" s="272">
        <f>informatieblad!$B$4</f>
        <v>0</v>
      </c>
      <c r="BK28" s="264">
        <f>informatieblad!$B$4</f>
        <v>0</v>
      </c>
    </row>
    <row r="29" spans="1:63">
      <c r="A29" s="446"/>
      <c r="B29" s="471" t="str">
        <f>IF($B28&gt;0,IF(MAX(B28:C28)&lt;informatieblad!$Q$4,informatieblad!$P$3,IF(MAX(B28:C28)&gt;informatieblad!$R$4,informatieblad!$P$5,informatieblad!$P$4)),"")</f>
        <v/>
      </c>
      <c r="C29" s="472"/>
      <c r="D29" s="471" t="str">
        <f>IF($B28&gt;0,IF(MAX(D28:E28)&lt;informatieblad!$Q$4,informatieblad!$P$3,IF(MAX(D28:E28)&gt;informatieblad!$R$4,informatieblad!$P$5,informatieblad!$P$4)),"")</f>
        <v/>
      </c>
      <c r="E29" s="472"/>
      <c r="F29" s="134" t="str">
        <f>A28&amp;"-"&amp;informatieblad!$B$20&amp;"-"&amp;B28&amp;"-"&amp;C28&amp;"-"&amp;D28&amp;"-"&amp;E28&amp;"-"&amp;F28&amp;"-"&amp;G28&amp;"-"&amp;H28&amp;"-"&amp;I28&amp;"-"&amp;J28&amp;"-"&amp;K28&amp;"-"&amp;B29&amp;"-"&amp;H30</f>
        <v>-RctJ----0-0-0--0-0---Options None</v>
      </c>
      <c r="G29" s="134"/>
      <c r="H29" s="88"/>
      <c r="I29" s="469" t="s">
        <v>82</v>
      </c>
      <c r="J29" s="470"/>
      <c r="K29" s="135" t="str">
        <f>(IF($B28&gt;0,(IF(300&gt;(MAX(AI30,H28))*1.732,300,(MAX(AI30,H28))*1.732)+F28+G28),""))</f>
        <v/>
      </c>
      <c r="L29" s="83"/>
      <c r="V29" s="103">
        <f>A28</f>
        <v>0</v>
      </c>
      <c r="W29" s="104" t="s">
        <v>39</v>
      </c>
      <c r="X29" s="104" t="s">
        <v>39</v>
      </c>
      <c r="Y29" s="104" t="s">
        <v>40</v>
      </c>
      <c r="Z29" s="104" t="s">
        <v>40</v>
      </c>
      <c r="AA29" s="104" t="s">
        <v>40</v>
      </c>
      <c r="AB29" s="105"/>
      <c r="AC29" s="155" t="s">
        <v>27</v>
      </c>
      <c r="AD29" s="155" t="s">
        <v>40</v>
      </c>
      <c r="AE29" s="155" t="s">
        <v>41</v>
      </c>
      <c r="AF29" s="156" t="s">
        <v>87</v>
      </c>
      <c r="AG29" s="104" t="s">
        <v>88</v>
      </c>
      <c r="AH29" s="104"/>
      <c r="AI29" s="136" t="s">
        <v>172</v>
      </c>
      <c r="AK29" s="136" t="s">
        <v>87</v>
      </c>
      <c r="AL29" s="136" t="s">
        <v>88</v>
      </c>
      <c r="AM29" s="107"/>
      <c r="AN29" s="104" t="s">
        <v>40</v>
      </c>
      <c r="AO29" s="104" t="s">
        <v>41</v>
      </c>
      <c r="AP29" s="108"/>
      <c r="AQ29" s="109"/>
      <c r="AS29" s="262" t="str">
        <f>informatieblad!$A$2</f>
        <v>FL20 loose</v>
      </c>
      <c r="AT29" s="263"/>
      <c r="AU29" s="262" t="str">
        <f>informatieblad!$A$3</f>
        <v>FL30 loose</v>
      </c>
      <c r="AV29" s="105"/>
      <c r="AW29" s="263" t="str">
        <f>informatieblad!$A$4</f>
        <v>FL40 loose</v>
      </c>
      <c r="AX29" s="105"/>
      <c r="AY29" s="265"/>
      <c r="AZ29" s="105"/>
      <c r="BB29" s="267"/>
      <c r="BD29" s="267"/>
      <c r="BF29" s="265" t="s">
        <v>47</v>
      </c>
      <c r="BG29" s="106" t="s">
        <v>48</v>
      </c>
      <c r="BH29" s="83" t="s">
        <v>23</v>
      </c>
      <c r="BI29" s="83" t="s">
        <v>23</v>
      </c>
      <c r="BJ29" s="83" t="s">
        <v>23</v>
      </c>
      <c r="BK29" s="273" t="s">
        <v>23</v>
      </c>
    </row>
    <row r="30" spans="1:63" ht="15.75" thickBot="1">
      <c r="A30" s="476"/>
      <c r="B30" s="137" t="s">
        <v>23</v>
      </c>
      <c r="C30" s="157"/>
      <c r="D30" s="139"/>
      <c r="E30" s="140">
        <f>C30*X30</f>
        <v>0</v>
      </c>
      <c r="F30" s="141" t="s">
        <v>24</v>
      </c>
      <c r="G30" s="293"/>
      <c r="H30" s="461" t="s">
        <v>25</v>
      </c>
      <c r="I30" s="473"/>
      <c r="J30" s="473"/>
      <c r="K30" s="474"/>
      <c r="L30" s="176"/>
      <c r="V30" s="111"/>
      <c r="W30" s="112">
        <f>(((2*(C28+D28+H28))*K28)/1000000)</f>
        <v>0</v>
      </c>
      <c r="X30" s="112">
        <f>((IF(W30&lt;=informatieblad!$I$20,informatieblad!$I$20,IF(W30&gt;=informatieblad!$I$20,W30))))</f>
        <v>0.5</v>
      </c>
      <c r="Y30" s="158">
        <f>ROUND((((2*(C28+D28+H28))*K28)/1000000),2)</f>
        <v>0</v>
      </c>
      <c r="Z30" s="112">
        <f>((IF(Y30&lt;=informatieblad!$H$13,informatieblad!$H$13,IF(Y30&gt;=informatieblad!$H$13,Y30))))</f>
        <v>0</v>
      </c>
      <c r="AA30" s="113">
        <f>((Z30*AN30)+(Z30*AD30))*C30</f>
        <v>0</v>
      </c>
      <c r="AB30" s="114">
        <f>((X30*AO30)+(X30*AE30))*C30</f>
        <v>0</v>
      </c>
      <c r="AC30" s="115" t="str">
        <f>H30</f>
        <v>Options None</v>
      </c>
      <c r="AD30" s="115">
        <f>VLOOKUP(H30,informatieblad!$A$37:$D$41,2,FALSE)</f>
        <v>0</v>
      </c>
      <c r="AE30" s="115">
        <f>VLOOKUP(H30,informatieblad!$A$37:$D$41,4,FALSE)</f>
        <v>0</v>
      </c>
      <c r="AF30" s="159">
        <f>(MAX(B28,D28))</f>
        <v>0</v>
      </c>
      <c r="AG30" s="160">
        <f>(MAX(C28,E28))</f>
        <v>0</v>
      </c>
      <c r="AH30" s="160">
        <f>(MAX(A28:E28))</f>
        <v>0</v>
      </c>
      <c r="AI30" s="295">
        <f>(D28+H28)-B28</f>
        <v>0</v>
      </c>
      <c r="AJ30" s="161">
        <f>(MAX(AL30,AK30))</f>
        <v>0</v>
      </c>
      <c r="AK30" s="162">
        <f>ROUND((SQRT((((MAX(F28,H28))^2)+(K28^2)))),0)</f>
        <v>0</v>
      </c>
      <c r="AL30" s="163">
        <f>ROUND((SQRT((((MAX(I28,J28))^2)+(K28^2)))),0)</f>
        <v>0</v>
      </c>
      <c r="AM30" s="119">
        <f>LOOKUP(AH30,informatieblad!$C$27:$C$32,informatieblad!$A$27:$A$32)</f>
        <v>0.5</v>
      </c>
      <c r="AN30" s="118">
        <f>VLOOKUP(AM30,informatieblad!$A$27:$M$32,6,FALSE)</f>
        <v>0</v>
      </c>
      <c r="AO30" s="118">
        <f>VLOOKUP(AM30,informatieblad!$A$27:$M$32,8,FALSE)</f>
        <v>45.1248</v>
      </c>
      <c r="AP30" s="120"/>
      <c r="AQ30" s="121">
        <f>ROUND((AP31*Z30),1)</f>
        <v>0</v>
      </c>
      <c r="AS30" s="111">
        <f>(IF(B29=AS28,((2*B28)+(2*C28)),IF(B29=AS29,((2*B28)+(2*C28)),0)))*C30</f>
        <v>0</v>
      </c>
      <c r="AT30" s="261">
        <f>(IF(D29=AS28,((2*D28)+(2*E28)),IF(D29=AS29,((2*D28)+(2*E28)),0)))*C30</f>
        <v>0</v>
      </c>
      <c r="AU30" s="111">
        <f>(IF(D29=AU28,((2*B28)+(2*C28)),IF(D29=AU29,((2*B28)+(2*C28)),0)))*C30</f>
        <v>0</v>
      </c>
      <c r="AV30" s="260">
        <f>(IF(D29=AU28,((2*D28)+(2*E28)),IF(D29=AU29,((2*D28)+(2*E28)),0)))*C30</f>
        <v>0</v>
      </c>
      <c r="AW30" s="261">
        <f>(IF(B29=AW28,((2*B28)+(2*C28)),IF(B29=AW29,((2*B28)+(2*C28)),0)))*C30</f>
        <v>0</v>
      </c>
      <c r="AX30" s="260">
        <f>(IF(D29=AW28,((2*D28)+(2*E28)),IF(D29=AW29,((2*D28)+(2*E28)),0)))*C30</f>
        <v>0</v>
      </c>
      <c r="AY30" s="111">
        <f>(IF(B29=AY28,((2*B28)+(2*C28)),0))*C30</f>
        <v>0</v>
      </c>
      <c r="AZ30" s="260">
        <f>(IF(D29=AY28,((2*D28)+(2*E28)),0))*C30</f>
        <v>0</v>
      </c>
      <c r="BB30" s="268">
        <f>K28*C30</f>
        <v>0</v>
      </c>
      <c r="BD30" s="268">
        <f>(AF30+100)*C30</f>
        <v>0</v>
      </c>
      <c r="BF30" s="111" t="str">
        <f>IF(B29=informatieblad!$A$6,informatieblad!$B$6,IF(B29=informatieblad!$A$7,informatieblad!$B$7,IF(B29=informatieblad!$A$8,informatieblad!$B$8,IF(B29=informatieblad!$A$2,informatieblad!$B$2,IF(B29=informatieblad!$A$3,informatieblad!$B$3,IF(B29=informatieblad!$A$4,informatieblad!$B$4,IF(B29=informatieblad!$A$5,informatieblad!$B$5,"")))))))</f>
        <v/>
      </c>
      <c r="BG30" s="275" t="str">
        <f>IF(D29=informatieblad!$A$6,informatieblad!$B$6,IF(D29=informatieblad!$A$7,informatieblad!$B$7,IF(D29=informatieblad!$A$8,informatieblad!$B$8,IF(D29=informatieblad!$A$2,informatieblad!$B$2,IF(D29=informatieblad!$A$3,informatieblad!$B$3,IF(D29=informatieblad!$A$4,informatieblad!$B$4,IF(D29=informatieblad!$A$5,informatieblad!$B$5,"")))))))</f>
        <v/>
      </c>
      <c r="BH30" s="276">
        <f>IF(BF30=BH28,(4*C30),0)</f>
        <v>0</v>
      </c>
      <c r="BI30" s="276">
        <f>IF(BG30=BH28,(4*C30),0)</f>
        <v>0</v>
      </c>
      <c r="BJ30" s="276">
        <f>IF(BF30=BJ28,(4*C30),0)</f>
        <v>0</v>
      </c>
      <c r="BK30" s="274">
        <f>IF(BG30=BJ28,(4*C30),0)</f>
        <v>0</v>
      </c>
    </row>
    <row r="31" spans="1:63" ht="5.0999999999999996" customHeight="1" thickBot="1">
      <c r="A31" s="145"/>
      <c r="B31" s="122"/>
      <c r="C31" s="122"/>
      <c r="D31" s="122"/>
      <c r="E31" s="122"/>
      <c r="F31" s="122"/>
      <c r="G31" s="122"/>
      <c r="H31" s="122"/>
      <c r="I31" s="122"/>
      <c r="J31" s="122"/>
      <c r="K31" s="146"/>
    </row>
    <row r="32" spans="1:63" ht="15" thickBot="1">
      <c r="A32" s="445"/>
      <c r="B32" s="147"/>
      <c r="C32" s="147"/>
      <c r="D32" s="147"/>
      <c r="E32" s="147">
        <f>C32</f>
        <v>0</v>
      </c>
      <c r="F32" s="147">
        <f>(B32&gt;0)*$K$7</f>
        <v>0</v>
      </c>
      <c r="G32" s="147">
        <f>(B32&gt;0)*$K$8</f>
        <v>0</v>
      </c>
      <c r="H32" s="147"/>
      <c r="I32" s="149">
        <f>(C32-E32)/2</f>
        <v>0</v>
      </c>
      <c r="J32" s="150">
        <f>(C32-E32)-I32</f>
        <v>0</v>
      </c>
      <c r="K32" s="151"/>
      <c r="L32" s="345" t="s">
        <v>20</v>
      </c>
      <c r="V32" s="97" t="s">
        <v>14</v>
      </c>
      <c r="W32" s="98" t="s">
        <v>27</v>
      </c>
      <c r="X32" s="98" t="s">
        <v>28</v>
      </c>
      <c r="Y32" s="98" t="s">
        <v>27</v>
      </c>
      <c r="Z32" s="98" t="s">
        <v>28</v>
      </c>
      <c r="AA32" s="98" t="s">
        <v>29</v>
      </c>
      <c r="AB32" s="66" t="s">
        <v>30</v>
      </c>
      <c r="AC32" s="153" t="s">
        <v>31</v>
      </c>
      <c r="AD32" s="153"/>
      <c r="AE32" s="153"/>
      <c r="AF32" s="154" t="s">
        <v>83</v>
      </c>
      <c r="AG32" s="100" t="s">
        <v>83</v>
      </c>
      <c r="AH32" s="100" t="s">
        <v>83</v>
      </c>
      <c r="AI32" s="100" t="s">
        <v>83</v>
      </c>
      <c r="AJ32" s="98" t="s">
        <v>84</v>
      </c>
      <c r="AK32" s="98" t="s">
        <v>85</v>
      </c>
      <c r="AL32" s="100" t="s">
        <v>86</v>
      </c>
      <c r="AM32" s="100" t="s">
        <v>34</v>
      </c>
      <c r="AN32" s="98" t="s">
        <v>32</v>
      </c>
      <c r="AO32" s="98" t="s">
        <v>32</v>
      </c>
      <c r="AP32" s="98" t="s">
        <v>35</v>
      </c>
      <c r="AQ32" s="101" t="s">
        <v>36</v>
      </c>
      <c r="AS32" s="97" t="str">
        <f>informatieblad!$A$6</f>
        <v>FL20</v>
      </c>
      <c r="AT32" s="99"/>
      <c r="AU32" s="97" t="str">
        <f>informatieblad!$A$7</f>
        <v>FL30</v>
      </c>
      <c r="AV32" s="66"/>
      <c r="AW32" s="99" t="str">
        <f>informatieblad!$A$8</f>
        <v>FL40</v>
      </c>
      <c r="AX32" s="66"/>
      <c r="AY32" s="97" t="str">
        <f>informatieblad!$A$5</f>
        <v>none</v>
      </c>
      <c r="AZ32" s="264"/>
      <c r="BB32" s="266" t="s">
        <v>17</v>
      </c>
      <c r="BD32" s="266" t="s">
        <v>37</v>
      </c>
      <c r="BF32" s="269" t="s">
        <v>38</v>
      </c>
      <c r="BG32" s="272"/>
      <c r="BH32" s="272">
        <f>informatieblad!$B$3</f>
        <v>0</v>
      </c>
      <c r="BI32" s="272">
        <f>informatieblad!$B$3</f>
        <v>0</v>
      </c>
      <c r="BJ32" s="272">
        <f>informatieblad!$B$4</f>
        <v>0</v>
      </c>
      <c r="BK32" s="264">
        <f>informatieblad!$B$4</f>
        <v>0</v>
      </c>
    </row>
    <row r="33" spans="1:63">
      <c r="A33" s="446"/>
      <c r="B33" s="471" t="str">
        <f>IF($B32&gt;0,IF(MAX(B32:C32)&lt;informatieblad!$Q$4,informatieblad!$P$3,IF(MAX(B32:C32)&gt;informatieblad!$R$4,informatieblad!$P$5,informatieblad!$P$4)),"")</f>
        <v/>
      </c>
      <c r="C33" s="472"/>
      <c r="D33" s="471" t="str">
        <f>IF($B32&gt;0,IF(MAX(D32:E32)&lt;informatieblad!$Q$4,informatieblad!$P$3,IF(MAX(D32:E32)&gt;informatieblad!$R$4,informatieblad!$P$5,informatieblad!$P$4)),"")</f>
        <v/>
      </c>
      <c r="E33" s="472"/>
      <c r="F33" s="134" t="str">
        <f>A32&amp;"-"&amp;informatieblad!$B$20&amp;"-"&amp;B32&amp;"-"&amp;C32&amp;"-"&amp;D32&amp;"-"&amp;E32&amp;"-"&amp;F32&amp;"-"&amp;G32&amp;"-"&amp;H32&amp;"-"&amp;I32&amp;"-"&amp;J32&amp;"-"&amp;K32&amp;"-"&amp;B33&amp;"-"&amp;H34</f>
        <v>-RctJ----0-0-0--0-0---Options None</v>
      </c>
      <c r="G33" s="134"/>
      <c r="H33" s="88"/>
      <c r="I33" s="469" t="s">
        <v>82</v>
      </c>
      <c r="J33" s="470"/>
      <c r="K33" s="135" t="str">
        <f>(IF($B32&gt;0,(IF(300&gt;(MAX(AI34,H32))*1.732,300,(MAX(AI34,H32))*1.732)+F32+G32),""))</f>
        <v/>
      </c>
      <c r="L33" s="83"/>
      <c r="V33" s="103">
        <f>A32</f>
        <v>0</v>
      </c>
      <c r="W33" s="104" t="s">
        <v>39</v>
      </c>
      <c r="X33" s="104" t="s">
        <v>39</v>
      </c>
      <c r="Y33" s="104" t="s">
        <v>40</v>
      </c>
      <c r="Z33" s="104" t="s">
        <v>40</v>
      </c>
      <c r="AA33" s="104" t="s">
        <v>40</v>
      </c>
      <c r="AB33" s="105"/>
      <c r="AC33" s="155" t="s">
        <v>27</v>
      </c>
      <c r="AD33" s="155" t="s">
        <v>40</v>
      </c>
      <c r="AE33" s="155" t="s">
        <v>41</v>
      </c>
      <c r="AF33" s="156" t="s">
        <v>87</v>
      </c>
      <c r="AG33" s="104" t="s">
        <v>88</v>
      </c>
      <c r="AH33" s="104"/>
      <c r="AI33" s="136" t="s">
        <v>172</v>
      </c>
      <c r="AK33" s="136" t="s">
        <v>87</v>
      </c>
      <c r="AL33" s="136" t="s">
        <v>88</v>
      </c>
      <c r="AM33" s="107"/>
      <c r="AN33" s="104" t="s">
        <v>40</v>
      </c>
      <c r="AO33" s="104" t="s">
        <v>41</v>
      </c>
      <c r="AP33" s="108"/>
      <c r="AQ33" s="109"/>
      <c r="AS33" s="262" t="str">
        <f>informatieblad!$A$2</f>
        <v>FL20 loose</v>
      </c>
      <c r="AT33" s="263"/>
      <c r="AU33" s="262" t="str">
        <f>informatieblad!$A$3</f>
        <v>FL30 loose</v>
      </c>
      <c r="AV33" s="105"/>
      <c r="AW33" s="263" t="str">
        <f>informatieblad!$A$4</f>
        <v>FL40 loose</v>
      </c>
      <c r="AX33" s="105"/>
      <c r="AY33" s="265"/>
      <c r="AZ33" s="105"/>
      <c r="BB33" s="267"/>
      <c r="BD33" s="267"/>
      <c r="BF33" s="265" t="s">
        <v>47</v>
      </c>
      <c r="BG33" s="106" t="s">
        <v>48</v>
      </c>
      <c r="BH33" s="83" t="s">
        <v>23</v>
      </c>
      <c r="BI33" s="83" t="s">
        <v>23</v>
      </c>
      <c r="BJ33" s="83" t="s">
        <v>23</v>
      </c>
      <c r="BK33" s="273" t="s">
        <v>23</v>
      </c>
    </row>
    <row r="34" spans="1:63" ht="15.75" thickBot="1">
      <c r="A34" s="476"/>
      <c r="B34" s="137" t="s">
        <v>23</v>
      </c>
      <c r="C34" s="157"/>
      <c r="D34" s="139"/>
      <c r="E34" s="140">
        <f>C34*X34</f>
        <v>0</v>
      </c>
      <c r="F34" s="141" t="s">
        <v>24</v>
      </c>
      <c r="G34" s="293"/>
      <c r="H34" s="461" t="s">
        <v>25</v>
      </c>
      <c r="I34" s="473"/>
      <c r="J34" s="473"/>
      <c r="K34" s="474"/>
      <c r="L34" s="176"/>
      <c r="V34" s="111"/>
      <c r="W34" s="112">
        <f>(((2*(C32+D32+H32))*K32)/1000000)</f>
        <v>0</v>
      </c>
      <c r="X34" s="112">
        <f>((IF(W34&lt;=informatieblad!$I$20,informatieblad!$I$20,IF(W34&gt;=informatieblad!$I$20,W34))))</f>
        <v>0.5</v>
      </c>
      <c r="Y34" s="158">
        <f>ROUND((((2*(C32+D32+H32))*K32)/1000000),2)</f>
        <v>0</v>
      </c>
      <c r="Z34" s="112">
        <f>((IF(Y34&lt;=informatieblad!$H$13,informatieblad!$H$13,IF(Y34&gt;=informatieblad!$H$13,Y34))))</f>
        <v>0</v>
      </c>
      <c r="AA34" s="113">
        <f>((Z34*AN34)+(Z34*AD34))*C34</f>
        <v>0</v>
      </c>
      <c r="AB34" s="114">
        <f>((X34*AO34)+(X34*AE34))*C34</f>
        <v>0</v>
      </c>
      <c r="AC34" s="115" t="str">
        <f>H34</f>
        <v>Options None</v>
      </c>
      <c r="AD34" s="115">
        <f>VLOOKUP(H34,informatieblad!$A$37:$D$41,2,FALSE)</f>
        <v>0</v>
      </c>
      <c r="AE34" s="115">
        <f>VLOOKUP(H34,informatieblad!$A$37:$D$41,4,FALSE)</f>
        <v>0</v>
      </c>
      <c r="AF34" s="159">
        <f>(MAX(B32,D32))</f>
        <v>0</v>
      </c>
      <c r="AG34" s="160">
        <f>(MAX(C32,E32))</f>
        <v>0</v>
      </c>
      <c r="AH34" s="160">
        <f>(MAX(A32:E32))</f>
        <v>0</v>
      </c>
      <c r="AI34" s="295">
        <f>(D32+H32)-B32</f>
        <v>0</v>
      </c>
      <c r="AJ34" s="161">
        <f>(MAX(AL34,AK34))</f>
        <v>0</v>
      </c>
      <c r="AK34" s="162">
        <f>ROUND((SQRT((((MAX(F32,H32))^2)+(K32^2)))),0)</f>
        <v>0</v>
      </c>
      <c r="AL34" s="163">
        <f>ROUND((SQRT((((MAX(I32,J32))^2)+(K32^2)))),0)</f>
        <v>0</v>
      </c>
      <c r="AM34" s="119">
        <f>LOOKUP(AH34,informatieblad!$C$27:$C$32,informatieblad!$A$27:$A$32)</f>
        <v>0.5</v>
      </c>
      <c r="AN34" s="118">
        <f>VLOOKUP(AM34,informatieblad!$A$27:$M$32,6,FALSE)</f>
        <v>0</v>
      </c>
      <c r="AO34" s="118">
        <f>VLOOKUP(AM34,informatieblad!$A$27:$M$32,8,FALSE)</f>
        <v>45.1248</v>
      </c>
      <c r="AP34" s="120"/>
      <c r="AQ34" s="121">
        <f>ROUND((AP35*Z34),1)</f>
        <v>0</v>
      </c>
      <c r="AS34" s="111">
        <f>(IF(B33=AS32,((2*B32)+(2*C32)),IF(B33=AS33,((2*B32)+(2*C32)),0)))*C34</f>
        <v>0</v>
      </c>
      <c r="AT34" s="261">
        <f>(IF(D33=AS32,((2*D32)+(2*E32)),IF(D33=AS33,((2*D32)+(2*E32)),0)))*C34</f>
        <v>0</v>
      </c>
      <c r="AU34" s="111">
        <f>(IF(D33=AU32,((2*B32)+(2*C32)),IF(D33=AU33,((2*B32)+(2*C32)),0)))*C34</f>
        <v>0</v>
      </c>
      <c r="AV34" s="260">
        <f>(IF(D33=AU32,((2*D32)+(2*E32)),IF(D33=AU33,((2*D32)+(2*E32)),0)))*C34</f>
        <v>0</v>
      </c>
      <c r="AW34" s="261">
        <f>(IF(B33=AW32,((2*B32)+(2*C32)),IF(B33=AW33,((2*B32)+(2*C32)),0)))*C34</f>
        <v>0</v>
      </c>
      <c r="AX34" s="260">
        <f>(IF(D33=AW32,((2*D32)+(2*E32)),IF(D33=AW33,((2*D32)+(2*E32)),0)))*C34</f>
        <v>0</v>
      </c>
      <c r="AY34" s="111">
        <f>(IF(B33=AY32,((2*B32)+(2*C32)),0))*C34</f>
        <v>0</v>
      </c>
      <c r="AZ34" s="260">
        <f>(IF(D33=AY32,((2*D32)+(2*E32)),0))*C34</f>
        <v>0</v>
      </c>
      <c r="BB34" s="268">
        <f>K32*C34</f>
        <v>0</v>
      </c>
      <c r="BD34" s="268">
        <f>(AF34+100)*C34</f>
        <v>0</v>
      </c>
      <c r="BF34" s="111" t="str">
        <f>IF(B33=informatieblad!$A$6,informatieblad!$B$6,IF(B33=informatieblad!$A$7,informatieblad!$B$7,IF(B33=informatieblad!$A$8,informatieblad!$B$8,IF(B33=informatieblad!$A$2,informatieblad!$B$2,IF(B33=informatieblad!$A$3,informatieblad!$B$3,IF(B33=informatieblad!$A$4,informatieblad!$B$4,IF(B33=informatieblad!$A$5,informatieblad!$B$5,"")))))))</f>
        <v/>
      </c>
      <c r="BG34" s="275" t="str">
        <f>IF(D33=informatieblad!$A$6,informatieblad!$B$6,IF(D33=informatieblad!$A$7,informatieblad!$B$7,IF(D33=informatieblad!$A$8,informatieblad!$B$8,IF(D33=informatieblad!$A$2,informatieblad!$B$2,IF(D33=informatieblad!$A$3,informatieblad!$B$3,IF(D33=informatieblad!$A$4,informatieblad!$B$4,IF(D33=informatieblad!$A$5,informatieblad!$B$5,"")))))))</f>
        <v/>
      </c>
      <c r="BH34" s="276">
        <f>IF(BF34=BH32,(4*C34),0)</f>
        <v>0</v>
      </c>
      <c r="BI34" s="276">
        <f>IF(BG34=BH32,(4*C34),0)</f>
        <v>0</v>
      </c>
      <c r="BJ34" s="276">
        <f>IF(BF34=BJ32,(4*C34),0)</f>
        <v>0</v>
      </c>
      <c r="BK34" s="274">
        <f>IF(BG34=BJ32,(4*C34),0)</f>
        <v>0</v>
      </c>
    </row>
    <row r="35" spans="1:63" ht="5.0999999999999996" customHeight="1" thickBot="1">
      <c r="A35" s="145"/>
      <c r="B35" s="122"/>
      <c r="C35" s="122"/>
      <c r="D35" s="122"/>
      <c r="E35" s="122"/>
      <c r="F35" s="122"/>
      <c r="G35" s="122"/>
      <c r="H35" s="122"/>
      <c r="I35" s="122"/>
      <c r="J35" s="122"/>
      <c r="K35" s="146"/>
    </row>
    <row r="36" spans="1:63" ht="14.25" customHeight="1" thickBot="1">
      <c r="A36" s="445"/>
      <c r="B36" s="147"/>
      <c r="C36" s="147"/>
      <c r="D36" s="147"/>
      <c r="E36" s="147">
        <f>C36</f>
        <v>0</v>
      </c>
      <c r="F36" s="147">
        <f>(B36&gt;0)*$K$7</f>
        <v>0</v>
      </c>
      <c r="G36" s="147">
        <f>(B36&gt;0)*$K$8</f>
        <v>0</v>
      </c>
      <c r="H36" s="147"/>
      <c r="I36" s="149">
        <f>(C36-E36)/2</f>
        <v>0</v>
      </c>
      <c r="J36" s="150">
        <f>(C36-E36)-I36</f>
        <v>0</v>
      </c>
      <c r="K36" s="151"/>
      <c r="L36" s="345" t="s">
        <v>20</v>
      </c>
      <c r="V36" s="97" t="s">
        <v>14</v>
      </c>
      <c r="W36" s="98" t="s">
        <v>27</v>
      </c>
      <c r="X36" s="98" t="s">
        <v>28</v>
      </c>
      <c r="Y36" s="98" t="s">
        <v>27</v>
      </c>
      <c r="Z36" s="98" t="s">
        <v>28</v>
      </c>
      <c r="AA36" s="98" t="s">
        <v>29</v>
      </c>
      <c r="AB36" s="66" t="s">
        <v>30</v>
      </c>
      <c r="AC36" s="153" t="s">
        <v>31</v>
      </c>
      <c r="AD36" s="153"/>
      <c r="AE36" s="153"/>
      <c r="AF36" s="154" t="s">
        <v>83</v>
      </c>
      <c r="AG36" s="100" t="s">
        <v>83</v>
      </c>
      <c r="AH36" s="100" t="s">
        <v>83</v>
      </c>
      <c r="AI36" s="100" t="s">
        <v>83</v>
      </c>
      <c r="AJ36" s="98" t="s">
        <v>84</v>
      </c>
      <c r="AK36" s="98" t="s">
        <v>85</v>
      </c>
      <c r="AL36" s="100" t="s">
        <v>86</v>
      </c>
      <c r="AM36" s="100" t="s">
        <v>34</v>
      </c>
      <c r="AN36" s="98" t="s">
        <v>32</v>
      </c>
      <c r="AO36" s="98" t="s">
        <v>32</v>
      </c>
      <c r="AP36" s="98" t="s">
        <v>35</v>
      </c>
      <c r="AQ36" s="101" t="s">
        <v>36</v>
      </c>
      <c r="AS36" s="97" t="str">
        <f>informatieblad!$A$6</f>
        <v>FL20</v>
      </c>
      <c r="AT36" s="99"/>
      <c r="AU36" s="97" t="str">
        <f>informatieblad!$A$7</f>
        <v>FL30</v>
      </c>
      <c r="AV36" s="66"/>
      <c r="AW36" s="99" t="str">
        <f>informatieblad!$A$8</f>
        <v>FL40</v>
      </c>
      <c r="AX36" s="66"/>
      <c r="AY36" s="97" t="str">
        <f>informatieblad!$A$5</f>
        <v>none</v>
      </c>
      <c r="AZ36" s="264"/>
      <c r="BB36" s="266" t="s">
        <v>17</v>
      </c>
      <c r="BD36" s="266" t="s">
        <v>37</v>
      </c>
      <c r="BF36" s="269" t="s">
        <v>38</v>
      </c>
      <c r="BG36" s="272"/>
      <c r="BH36" s="272">
        <f>informatieblad!$B$3</f>
        <v>0</v>
      </c>
      <c r="BI36" s="272">
        <f>informatieblad!$B$3</f>
        <v>0</v>
      </c>
      <c r="BJ36" s="272">
        <f>informatieblad!$B$4</f>
        <v>0</v>
      </c>
      <c r="BK36" s="264">
        <f>informatieblad!$B$4</f>
        <v>0</v>
      </c>
    </row>
    <row r="37" spans="1:63" ht="15" customHeight="1">
      <c r="A37" s="467"/>
      <c r="B37" s="471" t="str">
        <f>IF($B36&gt;0,IF(MAX(B36:C36)&lt;informatieblad!$Q$4,informatieblad!$P$3,IF(MAX(B36:C36)&gt;informatieblad!$R$4,informatieblad!$P$5,informatieblad!$P$4)),"")</f>
        <v/>
      </c>
      <c r="C37" s="472"/>
      <c r="D37" s="471" t="str">
        <f>IF($B36&gt;0,IF(MAX(D36:E36)&lt;informatieblad!$Q$4,informatieblad!$P$3,IF(MAX(D36:E36)&gt;informatieblad!$R$4,informatieblad!$P$5,informatieblad!$P$4)),"")</f>
        <v/>
      </c>
      <c r="E37" s="472"/>
      <c r="F37" s="134" t="str">
        <f>A36&amp;"-"&amp;informatieblad!$B$20&amp;"-"&amp;B36&amp;"-"&amp;C36&amp;"-"&amp;D36&amp;"-"&amp;E36&amp;"-"&amp;F36&amp;"-"&amp;G36&amp;"-"&amp;H36&amp;"-"&amp;I36&amp;"-"&amp;J36&amp;"-"&amp;K36&amp;"-"&amp;B37&amp;"-"&amp;H38</f>
        <v>-RctJ----0-0-0--0-0---Options None</v>
      </c>
      <c r="G37" s="134"/>
      <c r="H37" s="88"/>
      <c r="I37" s="469" t="s">
        <v>82</v>
      </c>
      <c r="J37" s="470"/>
      <c r="K37" s="135" t="str">
        <f>(IF($B36&gt;0,(IF(300&gt;(MAX(AI38,H36))*1.732,300,(MAX(AI38,H36))*1.732)+F36+G36),""))</f>
        <v/>
      </c>
      <c r="L37" s="83"/>
      <c r="V37" s="103">
        <f>A36</f>
        <v>0</v>
      </c>
      <c r="W37" s="104" t="s">
        <v>39</v>
      </c>
      <c r="X37" s="104" t="s">
        <v>39</v>
      </c>
      <c r="Y37" s="104" t="s">
        <v>40</v>
      </c>
      <c r="Z37" s="104" t="s">
        <v>40</v>
      </c>
      <c r="AA37" s="104" t="s">
        <v>40</v>
      </c>
      <c r="AB37" s="105"/>
      <c r="AC37" s="155" t="s">
        <v>27</v>
      </c>
      <c r="AD37" s="155" t="s">
        <v>40</v>
      </c>
      <c r="AE37" s="155" t="s">
        <v>41</v>
      </c>
      <c r="AF37" s="156" t="s">
        <v>87</v>
      </c>
      <c r="AG37" s="104" t="s">
        <v>88</v>
      </c>
      <c r="AH37" s="104"/>
      <c r="AI37" s="136" t="s">
        <v>172</v>
      </c>
      <c r="AK37" s="136" t="s">
        <v>87</v>
      </c>
      <c r="AL37" s="136" t="s">
        <v>88</v>
      </c>
      <c r="AM37" s="107"/>
      <c r="AN37" s="104" t="s">
        <v>40</v>
      </c>
      <c r="AO37" s="104" t="s">
        <v>41</v>
      </c>
      <c r="AP37" s="108"/>
      <c r="AQ37" s="109"/>
      <c r="AS37" s="262" t="str">
        <f>informatieblad!$A$2</f>
        <v>FL20 loose</v>
      </c>
      <c r="AT37" s="263"/>
      <c r="AU37" s="262" t="str">
        <f>informatieblad!$A$3</f>
        <v>FL30 loose</v>
      </c>
      <c r="AV37" s="105"/>
      <c r="AW37" s="263" t="str">
        <f>informatieblad!$A$4</f>
        <v>FL40 loose</v>
      </c>
      <c r="AX37" s="105"/>
      <c r="AY37" s="265"/>
      <c r="AZ37" s="105"/>
      <c r="BB37" s="267"/>
      <c r="BD37" s="267"/>
      <c r="BF37" s="265" t="s">
        <v>47</v>
      </c>
      <c r="BG37" s="106" t="s">
        <v>48</v>
      </c>
      <c r="BH37" s="83" t="s">
        <v>23</v>
      </c>
      <c r="BI37" s="83" t="s">
        <v>23</v>
      </c>
      <c r="BJ37" s="83" t="s">
        <v>23</v>
      </c>
      <c r="BK37" s="273" t="s">
        <v>23</v>
      </c>
    </row>
    <row r="38" spans="1:63" ht="15.75" customHeight="1" thickBot="1">
      <c r="A38" s="468"/>
      <c r="B38" s="137" t="s">
        <v>23</v>
      </c>
      <c r="C38" s="157"/>
      <c r="D38" s="139"/>
      <c r="E38" s="140">
        <f>C38*X38</f>
        <v>0</v>
      </c>
      <c r="F38" s="141" t="s">
        <v>24</v>
      </c>
      <c r="G38" s="293"/>
      <c r="H38" s="461" t="s">
        <v>25</v>
      </c>
      <c r="I38" s="473"/>
      <c r="J38" s="473"/>
      <c r="K38" s="474"/>
      <c r="L38" s="176"/>
      <c r="V38" s="111"/>
      <c r="W38" s="112">
        <f>(((2*(C36+D36+H36))*K36)/1000000)</f>
        <v>0</v>
      </c>
      <c r="X38" s="112">
        <f>((IF(W38&lt;=informatieblad!$I$20,informatieblad!$I$20,IF(W38&gt;=informatieblad!$I$20,W38))))</f>
        <v>0.5</v>
      </c>
      <c r="Y38" s="158">
        <f>ROUND((((2*(C36+D36+H36))*K36)/1000000),2)</f>
        <v>0</v>
      </c>
      <c r="Z38" s="112">
        <f>((IF(Y38&lt;=informatieblad!$H$13,informatieblad!$H$13,IF(Y38&gt;=informatieblad!$H$13,Y38))))</f>
        <v>0</v>
      </c>
      <c r="AA38" s="113">
        <f>((Z38*AN38)+(Z38*AD38))*C38</f>
        <v>0</v>
      </c>
      <c r="AB38" s="114">
        <f>((X38*AO38)+(X38*AE38))*C38</f>
        <v>0</v>
      </c>
      <c r="AC38" s="115" t="str">
        <f>H38</f>
        <v>Options None</v>
      </c>
      <c r="AD38" s="115">
        <f>VLOOKUP(H38,informatieblad!$A$37:$D$41,2,FALSE)</f>
        <v>0</v>
      </c>
      <c r="AE38" s="115">
        <f>VLOOKUP(H38,informatieblad!$A$37:$D$41,4,FALSE)</f>
        <v>0</v>
      </c>
      <c r="AF38" s="159">
        <f>(MAX(B36,D36))</f>
        <v>0</v>
      </c>
      <c r="AG38" s="160">
        <f>(MAX(C36,E36))</f>
        <v>0</v>
      </c>
      <c r="AH38" s="160">
        <f>(MAX(A36:E36))</f>
        <v>0</v>
      </c>
      <c r="AI38" s="295">
        <f>(D36+H36)-B36</f>
        <v>0</v>
      </c>
      <c r="AJ38" s="161">
        <f>(MAX(AL38,AK38))</f>
        <v>0</v>
      </c>
      <c r="AK38" s="162">
        <f>ROUND((SQRT((((MAX(F36,H36))^2)+(K36^2)))),0)</f>
        <v>0</v>
      </c>
      <c r="AL38" s="163">
        <f>ROUND((SQRT((((MAX(I36,J36))^2)+(K36^2)))),0)</f>
        <v>0</v>
      </c>
      <c r="AM38" s="119">
        <f>LOOKUP(AH38,informatieblad!$C$27:$C$32,informatieblad!$A$27:$A$32)</f>
        <v>0.5</v>
      </c>
      <c r="AN38" s="118">
        <f>VLOOKUP(AM38,informatieblad!$A$27:$M$32,6,FALSE)</f>
        <v>0</v>
      </c>
      <c r="AO38" s="118">
        <f>VLOOKUP(AM38,informatieblad!$A$27:$M$32,8,FALSE)</f>
        <v>45.1248</v>
      </c>
      <c r="AP38" s="120"/>
      <c r="AQ38" s="121">
        <f>ROUND((AP39*Z38),1)</f>
        <v>0</v>
      </c>
      <c r="AS38" s="111">
        <f>(IF(B37=AS36,((2*B36)+(2*C36)),IF(B37=AS37,((2*B36)+(2*C36)),0)))*C38</f>
        <v>0</v>
      </c>
      <c r="AT38" s="261">
        <f>(IF(D37=AS36,((2*D36)+(2*E36)),IF(D37=AS37,((2*D36)+(2*E36)),0)))*C38</f>
        <v>0</v>
      </c>
      <c r="AU38" s="111">
        <f>(IF(D37=AU36,((2*B36)+(2*C36)),IF(D37=AU37,((2*B36)+(2*C36)),0)))*C38</f>
        <v>0</v>
      </c>
      <c r="AV38" s="260">
        <f>(IF(D37=AU36,((2*D36)+(2*E36)),IF(D37=AU37,((2*D36)+(2*E36)),0)))*C38</f>
        <v>0</v>
      </c>
      <c r="AW38" s="261">
        <f>(IF(B37=AW36,((2*B36)+(2*C36)),IF(B37=AW37,((2*B36)+(2*C36)),0)))*C38</f>
        <v>0</v>
      </c>
      <c r="AX38" s="260">
        <f>(IF(D37=AW36,((2*D36)+(2*E36)),IF(D37=AW37,((2*D36)+(2*E36)),0)))*C38</f>
        <v>0</v>
      </c>
      <c r="AY38" s="111">
        <f>(IF(B37=AY36,((2*B36)+(2*C36)),0))*C38</f>
        <v>0</v>
      </c>
      <c r="AZ38" s="260">
        <f>(IF(D37=AY36,((2*D36)+(2*E36)),0))*C38</f>
        <v>0</v>
      </c>
      <c r="BB38" s="268">
        <f>K36*C38</f>
        <v>0</v>
      </c>
      <c r="BD38" s="268">
        <f>(AF38+100)*C38</f>
        <v>0</v>
      </c>
      <c r="BF38" s="111" t="str">
        <f>IF(B37=informatieblad!$A$6,informatieblad!$B$6,IF(B37=informatieblad!$A$7,informatieblad!$B$7,IF(B37=informatieblad!$A$8,informatieblad!$B$8,IF(B37=informatieblad!$A$2,informatieblad!$B$2,IF(B37=informatieblad!$A$3,informatieblad!$B$3,IF(B37=informatieblad!$A$4,informatieblad!$B$4,IF(B37=informatieblad!$A$5,informatieblad!$B$5,"")))))))</f>
        <v/>
      </c>
      <c r="BG38" s="275" t="str">
        <f>IF(D37=informatieblad!$A$6,informatieblad!$B$6,IF(D37=informatieblad!$A$7,informatieblad!$B$7,IF(D37=informatieblad!$A$8,informatieblad!$B$8,IF(D37=informatieblad!$A$2,informatieblad!$B$2,IF(D37=informatieblad!$A$3,informatieblad!$B$3,IF(D37=informatieblad!$A$4,informatieblad!$B$4,IF(D37=informatieblad!$A$5,informatieblad!$B$5,"")))))))</f>
        <v/>
      </c>
      <c r="BH38" s="276">
        <f>IF(BF38=BH36,(4*C38),0)</f>
        <v>0</v>
      </c>
      <c r="BI38" s="276">
        <f>IF(BG38=BH36,(4*C38),0)</f>
        <v>0</v>
      </c>
      <c r="BJ38" s="276">
        <f>IF(BF38=BJ36,(4*C38),0)</f>
        <v>0</v>
      </c>
      <c r="BK38" s="274">
        <f>IF(BG38=BJ36,(4*C38),0)</f>
        <v>0</v>
      </c>
    </row>
    <row r="39" spans="1:63" ht="5.0999999999999996" customHeight="1" thickBot="1">
      <c r="A39" s="145"/>
      <c r="B39" s="122"/>
      <c r="C39" s="122"/>
      <c r="D39" s="122"/>
      <c r="E39" s="122"/>
      <c r="F39" s="122"/>
      <c r="G39" s="122"/>
      <c r="H39" s="122"/>
      <c r="I39" s="122"/>
      <c r="J39" s="122"/>
      <c r="K39" s="146"/>
    </row>
    <row r="40" spans="1:63" ht="15" thickBot="1">
      <c r="A40" s="445"/>
      <c r="B40" s="147"/>
      <c r="C40" s="147"/>
      <c r="D40" s="147"/>
      <c r="E40" s="147">
        <f>C40</f>
        <v>0</v>
      </c>
      <c r="F40" s="147">
        <f>(B40&gt;0)*$K$7</f>
        <v>0</v>
      </c>
      <c r="G40" s="147">
        <f>(B40&gt;0)*$K$8</f>
        <v>0</v>
      </c>
      <c r="H40" s="147"/>
      <c r="I40" s="149">
        <f>(C40-E40)/2</f>
        <v>0</v>
      </c>
      <c r="J40" s="150">
        <f>(C40-E40)-I40</f>
        <v>0</v>
      </c>
      <c r="K40" s="151"/>
      <c r="L40" s="345" t="s">
        <v>20</v>
      </c>
      <c r="V40" s="97" t="s">
        <v>14</v>
      </c>
      <c r="W40" s="98" t="s">
        <v>27</v>
      </c>
      <c r="X40" s="98" t="s">
        <v>28</v>
      </c>
      <c r="Y40" s="98" t="s">
        <v>27</v>
      </c>
      <c r="Z40" s="98" t="s">
        <v>28</v>
      </c>
      <c r="AA40" s="98" t="s">
        <v>29</v>
      </c>
      <c r="AB40" s="66" t="s">
        <v>30</v>
      </c>
      <c r="AC40" s="153" t="s">
        <v>31</v>
      </c>
      <c r="AD40" s="153"/>
      <c r="AE40" s="153"/>
      <c r="AF40" s="154" t="s">
        <v>83</v>
      </c>
      <c r="AG40" s="100" t="s">
        <v>83</v>
      </c>
      <c r="AH40" s="100" t="s">
        <v>83</v>
      </c>
      <c r="AI40" s="100" t="s">
        <v>83</v>
      </c>
      <c r="AJ40" s="98" t="s">
        <v>84</v>
      </c>
      <c r="AK40" s="98" t="s">
        <v>85</v>
      </c>
      <c r="AL40" s="100" t="s">
        <v>86</v>
      </c>
      <c r="AM40" s="100" t="s">
        <v>34</v>
      </c>
      <c r="AN40" s="98" t="s">
        <v>32</v>
      </c>
      <c r="AO40" s="98" t="s">
        <v>32</v>
      </c>
      <c r="AP40" s="98" t="s">
        <v>35</v>
      </c>
      <c r="AQ40" s="101" t="s">
        <v>36</v>
      </c>
      <c r="AS40" s="97" t="str">
        <f>informatieblad!$A$6</f>
        <v>FL20</v>
      </c>
      <c r="AT40" s="99"/>
      <c r="AU40" s="97" t="str">
        <f>informatieblad!$A$7</f>
        <v>FL30</v>
      </c>
      <c r="AV40" s="66"/>
      <c r="AW40" s="99" t="str">
        <f>informatieblad!$A$8</f>
        <v>FL40</v>
      </c>
      <c r="AX40" s="66"/>
      <c r="AY40" s="97" t="str">
        <f>informatieblad!$A$5</f>
        <v>none</v>
      </c>
      <c r="AZ40" s="264"/>
      <c r="BB40" s="266" t="s">
        <v>17</v>
      </c>
      <c r="BD40" s="266" t="s">
        <v>37</v>
      </c>
      <c r="BF40" s="269" t="s">
        <v>38</v>
      </c>
      <c r="BG40" s="272"/>
      <c r="BH40" s="272">
        <f>informatieblad!$B$3</f>
        <v>0</v>
      </c>
      <c r="BI40" s="272">
        <f>informatieblad!$B$3</f>
        <v>0</v>
      </c>
      <c r="BJ40" s="272">
        <f>informatieblad!$B$4</f>
        <v>0</v>
      </c>
      <c r="BK40" s="264">
        <f>informatieblad!$B$4</f>
        <v>0</v>
      </c>
    </row>
    <row r="41" spans="1:63">
      <c r="A41" s="446"/>
      <c r="B41" s="471" t="str">
        <f>IF($B40&gt;0,IF(MAX(B40:C40)&lt;informatieblad!$Q$4,informatieblad!$P$3,IF(MAX(B40:C40)&gt;informatieblad!$R$4,informatieblad!$P$5,informatieblad!$P$4)),"")</f>
        <v/>
      </c>
      <c r="C41" s="472"/>
      <c r="D41" s="471" t="str">
        <f>IF($B40&gt;0,IF(MAX(D40:E40)&lt;informatieblad!$Q$4,informatieblad!$P$3,IF(MAX(D40:E40)&gt;informatieblad!$R$4,informatieblad!$P$5,informatieblad!$P$4)),"")</f>
        <v/>
      </c>
      <c r="E41" s="472"/>
      <c r="F41" s="134" t="str">
        <f>A40&amp;"-"&amp;informatieblad!$B$20&amp;"-"&amp;B40&amp;"-"&amp;C40&amp;"-"&amp;D40&amp;"-"&amp;E40&amp;"-"&amp;F40&amp;"-"&amp;G40&amp;"-"&amp;H40&amp;"-"&amp;I40&amp;"-"&amp;J40&amp;"-"&amp;K40&amp;"-"&amp;B41&amp;"-"&amp;H42</f>
        <v>-RctJ----0-0-0--0-0---Options None</v>
      </c>
      <c r="G41" s="134"/>
      <c r="H41" s="88"/>
      <c r="I41" s="469" t="s">
        <v>82</v>
      </c>
      <c r="J41" s="470"/>
      <c r="K41" s="135" t="str">
        <f>(IF($B40&gt;0,(IF(300&gt;(MAX(AI42,H40))*1.732,300,(MAX(AI42,H40))*1.732)+F40+G40),""))</f>
        <v/>
      </c>
      <c r="L41" s="83"/>
      <c r="V41" s="103">
        <f>A40</f>
        <v>0</v>
      </c>
      <c r="W41" s="104" t="s">
        <v>39</v>
      </c>
      <c r="X41" s="104" t="s">
        <v>39</v>
      </c>
      <c r="Y41" s="104" t="s">
        <v>40</v>
      </c>
      <c r="Z41" s="104" t="s">
        <v>40</v>
      </c>
      <c r="AA41" s="104" t="s">
        <v>40</v>
      </c>
      <c r="AB41" s="105"/>
      <c r="AC41" s="155" t="s">
        <v>27</v>
      </c>
      <c r="AD41" s="155" t="s">
        <v>40</v>
      </c>
      <c r="AE41" s="155" t="s">
        <v>41</v>
      </c>
      <c r="AF41" s="156" t="s">
        <v>87</v>
      </c>
      <c r="AG41" s="104" t="s">
        <v>88</v>
      </c>
      <c r="AH41" s="104"/>
      <c r="AI41" s="136" t="s">
        <v>172</v>
      </c>
      <c r="AK41" s="136" t="s">
        <v>87</v>
      </c>
      <c r="AL41" s="136" t="s">
        <v>88</v>
      </c>
      <c r="AM41" s="107"/>
      <c r="AN41" s="104" t="s">
        <v>40</v>
      </c>
      <c r="AO41" s="104" t="s">
        <v>41</v>
      </c>
      <c r="AP41" s="108"/>
      <c r="AQ41" s="109"/>
      <c r="AS41" s="262" t="str">
        <f>informatieblad!$A$2</f>
        <v>FL20 loose</v>
      </c>
      <c r="AT41" s="263"/>
      <c r="AU41" s="262" t="str">
        <f>informatieblad!$A$3</f>
        <v>FL30 loose</v>
      </c>
      <c r="AV41" s="105"/>
      <c r="AW41" s="263" t="str">
        <f>informatieblad!$A$4</f>
        <v>FL40 loose</v>
      </c>
      <c r="AX41" s="105"/>
      <c r="AY41" s="265"/>
      <c r="AZ41" s="105"/>
      <c r="BB41" s="267"/>
      <c r="BD41" s="267"/>
      <c r="BF41" s="265" t="s">
        <v>47</v>
      </c>
      <c r="BG41" s="106" t="s">
        <v>48</v>
      </c>
      <c r="BH41" s="83" t="s">
        <v>23</v>
      </c>
      <c r="BI41" s="83" t="s">
        <v>23</v>
      </c>
      <c r="BJ41" s="83" t="s">
        <v>23</v>
      </c>
      <c r="BK41" s="273" t="s">
        <v>23</v>
      </c>
    </row>
    <row r="42" spans="1:63" ht="15.75" thickBot="1">
      <c r="A42" s="476"/>
      <c r="B42" s="137" t="s">
        <v>23</v>
      </c>
      <c r="C42" s="157"/>
      <c r="D42" s="139"/>
      <c r="E42" s="140">
        <f>C42*X42</f>
        <v>0</v>
      </c>
      <c r="F42" s="141" t="s">
        <v>24</v>
      </c>
      <c r="G42" s="293"/>
      <c r="H42" s="461" t="s">
        <v>25</v>
      </c>
      <c r="I42" s="473"/>
      <c r="J42" s="473"/>
      <c r="K42" s="474"/>
      <c r="L42" s="176"/>
      <c r="V42" s="111"/>
      <c r="W42" s="112">
        <f>(((2*(C40+D40+H40))*K40)/1000000)</f>
        <v>0</v>
      </c>
      <c r="X42" s="112">
        <f>((IF(W42&lt;=informatieblad!$I$20,informatieblad!$I$20,IF(W42&gt;=informatieblad!$I$20,W42))))</f>
        <v>0.5</v>
      </c>
      <c r="Y42" s="158">
        <f>ROUND((((2*(C40+D40+H40))*K40)/1000000),2)</f>
        <v>0</v>
      </c>
      <c r="Z42" s="112">
        <f>((IF(Y42&lt;=informatieblad!$H$13,informatieblad!$H$13,IF(Y42&gt;=informatieblad!$H$13,Y42))))</f>
        <v>0</v>
      </c>
      <c r="AA42" s="113">
        <f>((Z42*AN42)+(Z42*AD42))*C42</f>
        <v>0</v>
      </c>
      <c r="AB42" s="114">
        <f>((X42*AO42)+(X42*AE42))*C42</f>
        <v>0</v>
      </c>
      <c r="AC42" s="115" t="str">
        <f>H42</f>
        <v>Options None</v>
      </c>
      <c r="AD42" s="115">
        <f>VLOOKUP(H42,informatieblad!$A$37:$D$41,2,FALSE)</f>
        <v>0</v>
      </c>
      <c r="AE42" s="115">
        <f>VLOOKUP(H42,informatieblad!$A$37:$D$41,4,FALSE)</f>
        <v>0</v>
      </c>
      <c r="AF42" s="159">
        <f>(MAX(B40,D40))</f>
        <v>0</v>
      </c>
      <c r="AG42" s="160">
        <f>(MAX(C40,E40))</f>
        <v>0</v>
      </c>
      <c r="AH42" s="160">
        <f>(MAX(A40:E40))</f>
        <v>0</v>
      </c>
      <c r="AI42" s="295">
        <f>(D40+H40)-B40</f>
        <v>0</v>
      </c>
      <c r="AJ42" s="161">
        <f>(MAX(AL42,AK42))</f>
        <v>0</v>
      </c>
      <c r="AK42" s="162">
        <f>ROUND((SQRT((((MAX(F40,H40))^2)+(K40^2)))),0)</f>
        <v>0</v>
      </c>
      <c r="AL42" s="163">
        <f>ROUND((SQRT((((MAX(I40,J40))^2)+(K40^2)))),0)</f>
        <v>0</v>
      </c>
      <c r="AM42" s="119">
        <f>LOOKUP(AH42,informatieblad!$C$27:$C$32,informatieblad!$A$27:$A$32)</f>
        <v>0.5</v>
      </c>
      <c r="AN42" s="118">
        <f>VLOOKUP(AM42,informatieblad!$A$27:$M$32,6,FALSE)</f>
        <v>0</v>
      </c>
      <c r="AO42" s="118">
        <f>VLOOKUP(AM42,informatieblad!$A$27:$M$32,8,FALSE)</f>
        <v>45.1248</v>
      </c>
      <c r="AP42" s="120"/>
      <c r="AQ42" s="121">
        <f>ROUND((AP43*Z42),1)</f>
        <v>0</v>
      </c>
      <c r="AS42" s="111">
        <f>(IF(B41=AS40,((2*B40)+(2*C40)),IF(B41=AS41,((2*B40)+(2*C40)),0)))*C42</f>
        <v>0</v>
      </c>
      <c r="AT42" s="261">
        <f>(IF(D41=AS40,((2*D40)+(2*E40)),IF(D41=AS41,((2*D40)+(2*E40)),0)))*C42</f>
        <v>0</v>
      </c>
      <c r="AU42" s="111">
        <f>(IF(D41=AU40,((2*B40)+(2*C40)),IF(D41=AU41,((2*B40)+(2*C40)),0)))*C42</f>
        <v>0</v>
      </c>
      <c r="AV42" s="260">
        <f>(IF(D41=AU40,((2*D40)+(2*E40)),IF(D41=AU41,((2*D40)+(2*E40)),0)))*C42</f>
        <v>0</v>
      </c>
      <c r="AW42" s="261">
        <f>(IF(B41=AW40,((2*B40)+(2*C40)),IF(B41=AW41,((2*B40)+(2*C40)),0)))*C42</f>
        <v>0</v>
      </c>
      <c r="AX42" s="260">
        <f>(IF(D41=AW40,((2*D40)+(2*E40)),IF(D41=AW41,((2*D40)+(2*E40)),0)))*C42</f>
        <v>0</v>
      </c>
      <c r="AY42" s="111">
        <f>(IF(B41=AY40,((2*B40)+(2*C40)),0))*C42</f>
        <v>0</v>
      </c>
      <c r="AZ42" s="260">
        <f>(IF(D41=AY40,((2*D40)+(2*E40)),0))*C42</f>
        <v>0</v>
      </c>
      <c r="BB42" s="268">
        <f>K40*C42</f>
        <v>0</v>
      </c>
      <c r="BD42" s="268">
        <f>(AF42+100)*C42</f>
        <v>0</v>
      </c>
      <c r="BF42" s="111" t="str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/>
      </c>
      <c r="BG42" s="275" t="str">
        <f>IF(D41=informatieblad!$A$6,informatieblad!$B$6,IF(D41=informatieblad!$A$7,informatieblad!$B$7,IF(D41=informatieblad!$A$8,informatieblad!$B$8,IF(D41=informatieblad!$A$2,informatieblad!$B$2,IF(D41=informatieblad!$A$3,informatieblad!$B$3,IF(D41=informatieblad!$A$4,informatieblad!$B$4,IF(D41=informatieblad!$A$5,informatieblad!$B$5,"")))))))</f>
        <v/>
      </c>
      <c r="BH42" s="276">
        <f>IF(BF42=BH40,(4*C42),0)</f>
        <v>0</v>
      </c>
      <c r="BI42" s="276">
        <f>IF(BG42=BH40,(4*C42),0)</f>
        <v>0</v>
      </c>
      <c r="BJ42" s="276">
        <f>IF(BF42=BJ40,(4*C42),0)</f>
        <v>0</v>
      </c>
      <c r="BK42" s="274">
        <f>IF(BG42=BJ40,(4*C42),0)</f>
        <v>0</v>
      </c>
    </row>
    <row r="43" spans="1:63" ht="5.0999999999999996" customHeight="1" thickBot="1">
      <c r="A43" s="145"/>
      <c r="B43" s="122"/>
      <c r="C43" s="122"/>
      <c r="D43" s="122"/>
      <c r="E43" s="122"/>
      <c r="F43" s="122"/>
      <c r="G43" s="122"/>
      <c r="H43" s="122"/>
      <c r="I43" s="122"/>
      <c r="J43" s="122"/>
      <c r="K43" s="146"/>
    </row>
    <row r="44" spans="1:63" ht="14.25" customHeight="1" thickBot="1">
      <c r="A44" s="445"/>
      <c r="B44" s="147"/>
      <c r="C44" s="147"/>
      <c r="D44" s="147"/>
      <c r="E44" s="177">
        <f>C44</f>
        <v>0</v>
      </c>
      <c r="F44" s="177">
        <f>(B44&gt;0)*$K$7</f>
        <v>0</v>
      </c>
      <c r="G44" s="177">
        <f>(B44&gt;0)*$K$8</f>
        <v>0</v>
      </c>
      <c r="H44" s="147"/>
      <c r="I44" s="149">
        <f>(C44-E44)/2</f>
        <v>0</v>
      </c>
      <c r="J44" s="150">
        <f>(C44-E44)-I44</f>
        <v>0</v>
      </c>
      <c r="K44" s="151"/>
      <c r="L44" s="345" t="s">
        <v>20</v>
      </c>
      <c r="V44" s="97" t="s">
        <v>14</v>
      </c>
      <c r="W44" s="98" t="s">
        <v>27</v>
      </c>
      <c r="X44" s="98" t="s">
        <v>28</v>
      </c>
      <c r="Y44" s="98" t="s">
        <v>27</v>
      </c>
      <c r="Z44" s="98" t="s">
        <v>28</v>
      </c>
      <c r="AA44" s="98" t="s">
        <v>29</v>
      </c>
      <c r="AB44" s="66" t="s">
        <v>30</v>
      </c>
      <c r="AC44" s="153" t="s">
        <v>31</v>
      </c>
      <c r="AD44" s="153"/>
      <c r="AE44" s="153"/>
      <c r="AF44" s="154" t="s">
        <v>83</v>
      </c>
      <c r="AG44" s="100" t="s">
        <v>83</v>
      </c>
      <c r="AH44" s="100" t="s">
        <v>83</v>
      </c>
      <c r="AI44" s="100" t="s">
        <v>83</v>
      </c>
      <c r="AJ44" s="98" t="s">
        <v>84</v>
      </c>
      <c r="AK44" s="98" t="s">
        <v>85</v>
      </c>
      <c r="AL44" s="100" t="s">
        <v>86</v>
      </c>
      <c r="AM44" s="100" t="s">
        <v>34</v>
      </c>
      <c r="AN44" s="98" t="s">
        <v>32</v>
      </c>
      <c r="AO44" s="98" t="s">
        <v>32</v>
      </c>
      <c r="AP44" s="98" t="s">
        <v>35</v>
      </c>
      <c r="AQ44" s="101" t="s">
        <v>36</v>
      </c>
      <c r="AS44" s="97" t="str">
        <f>informatieblad!$A$6</f>
        <v>FL20</v>
      </c>
      <c r="AT44" s="99"/>
      <c r="AU44" s="97" t="str">
        <f>informatieblad!$A$7</f>
        <v>FL30</v>
      </c>
      <c r="AV44" s="66"/>
      <c r="AW44" s="99" t="str">
        <f>informatieblad!$A$8</f>
        <v>FL40</v>
      </c>
      <c r="AX44" s="66"/>
      <c r="AY44" s="97" t="str">
        <f>informatieblad!$A$5</f>
        <v>none</v>
      </c>
      <c r="AZ44" s="264"/>
      <c r="BB44" s="266" t="s">
        <v>17</v>
      </c>
      <c r="BD44" s="266" t="s">
        <v>37</v>
      </c>
      <c r="BF44" s="269" t="s">
        <v>38</v>
      </c>
      <c r="BG44" s="272"/>
      <c r="BH44" s="272">
        <f>informatieblad!$B$3</f>
        <v>0</v>
      </c>
      <c r="BI44" s="272">
        <f>informatieblad!$B$3</f>
        <v>0</v>
      </c>
      <c r="BJ44" s="272">
        <f>informatieblad!$B$4</f>
        <v>0</v>
      </c>
      <c r="BK44" s="264">
        <f>informatieblad!$B$4</f>
        <v>0</v>
      </c>
    </row>
    <row r="45" spans="1:63" ht="15" customHeight="1">
      <c r="A45" s="446"/>
      <c r="B45" s="471" t="str">
        <f>IF($B44&gt;0,IF(MAX(B44:C44)&lt;informatieblad!$Q$4,informatieblad!$P$3,IF(MAX(B44:C44)&gt;informatieblad!$R$4,informatieblad!$P$5,informatieblad!$P$4)),"")</f>
        <v/>
      </c>
      <c r="C45" s="472"/>
      <c r="D45" s="471" t="str">
        <f>IF($B44&gt;0,IF(MAX(D44:E44)&lt;informatieblad!$Q$4,informatieblad!$P$3,IF(MAX(D44:E44)&gt;informatieblad!$R$4,informatieblad!$P$5,informatieblad!$P$4)),"")</f>
        <v/>
      </c>
      <c r="E45" s="472"/>
      <c r="F45" s="134" t="str">
        <f>A44&amp;"-"&amp;informatieblad!$B$20&amp;"-"&amp;B44&amp;"-"&amp;C44&amp;"-"&amp;D44&amp;"-"&amp;E44&amp;"-"&amp;F44&amp;"-"&amp;G44&amp;"-"&amp;H44&amp;"-"&amp;I44&amp;"-"&amp;J44&amp;"-"&amp;K44&amp;"-"&amp;B45&amp;"-"&amp;H46</f>
        <v>-RctJ----0-0-0--0-0---Options None</v>
      </c>
      <c r="G45" s="134"/>
      <c r="H45" s="88"/>
      <c r="I45" s="469" t="s">
        <v>82</v>
      </c>
      <c r="J45" s="470"/>
      <c r="K45" s="135" t="str">
        <f>(IF($B44&gt;0,(IF(300&gt;(MAX(AI46,H44))*1.732,300,(MAX(AI46,H44))*1.732)+F44+G44),""))</f>
        <v/>
      </c>
      <c r="L45" s="83"/>
      <c r="V45" s="103">
        <f>A44</f>
        <v>0</v>
      </c>
      <c r="W45" s="104" t="s">
        <v>39</v>
      </c>
      <c r="X45" s="104" t="s">
        <v>39</v>
      </c>
      <c r="Y45" s="104" t="s">
        <v>40</v>
      </c>
      <c r="Z45" s="104" t="s">
        <v>40</v>
      </c>
      <c r="AA45" s="104" t="s">
        <v>40</v>
      </c>
      <c r="AB45" s="105"/>
      <c r="AC45" s="155" t="s">
        <v>27</v>
      </c>
      <c r="AD45" s="155" t="s">
        <v>40</v>
      </c>
      <c r="AE45" s="155" t="s">
        <v>41</v>
      </c>
      <c r="AF45" s="156" t="s">
        <v>87</v>
      </c>
      <c r="AG45" s="104" t="s">
        <v>88</v>
      </c>
      <c r="AH45" s="104"/>
      <c r="AI45" s="136" t="s">
        <v>172</v>
      </c>
      <c r="AK45" s="136" t="s">
        <v>87</v>
      </c>
      <c r="AL45" s="136" t="s">
        <v>88</v>
      </c>
      <c r="AM45" s="107"/>
      <c r="AN45" s="104" t="s">
        <v>40</v>
      </c>
      <c r="AO45" s="104" t="s">
        <v>41</v>
      </c>
      <c r="AP45" s="108"/>
      <c r="AQ45" s="109"/>
      <c r="AS45" s="262" t="str">
        <f>informatieblad!$A$2</f>
        <v>FL20 loose</v>
      </c>
      <c r="AT45" s="263"/>
      <c r="AU45" s="262" t="str">
        <f>informatieblad!$A$3</f>
        <v>FL30 loose</v>
      </c>
      <c r="AV45" s="105"/>
      <c r="AW45" s="263" t="str">
        <f>informatieblad!$A$4</f>
        <v>FL40 loose</v>
      </c>
      <c r="AX45" s="105"/>
      <c r="AY45" s="265"/>
      <c r="AZ45" s="105"/>
      <c r="BB45" s="267"/>
      <c r="BD45" s="267"/>
      <c r="BF45" s="265" t="s">
        <v>47</v>
      </c>
      <c r="BG45" s="106" t="s">
        <v>48</v>
      </c>
      <c r="BH45" s="83" t="s">
        <v>23</v>
      </c>
      <c r="BI45" s="83" t="s">
        <v>23</v>
      </c>
      <c r="BJ45" s="83" t="s">
        <v>23</v>
      </c>
      <c r="BK45" s="273" t="s">
        <v>23</v>
      </c>
    </row>
    <row r="46" spans="1:63" ht="15.75" customHeight="1" thickBot="1">
      <c r="A46" s="476"/>
      <c r="B46" s="137" t="s">
        <v>23</v>
      </c>
      <c r="C46" s="157"/>
      <c r="D46" s="139"/>
      <c r="E46" s="140">
        <f>C46*X46</f>
        <v>0</v>
      </c>
      <c r="F46" s="141" t="s">
        <v>24</v>
      </c>
      <c r="G46" s="293"/>
      <c r="H46" s="461" t="s">
        <v>25</v>
      </c>
      <c r="I46" s="473"/>
      <c r="J46" s="473"/>
      <c r="K46" s="474"/>
      <c r="L46" s="176"/>
      <c r="V46" s="111"/>
      <c r="W46" s="112">
        <f>(((2*(C44+D44+H44))*K44)/1000000)</f>
        <v>0</v>
      </c>
      <c r="X46" s="112">
        <f>((IF(W46&lt;=informatieblad!$I$20,informatieblad!$I$20,IF(W46&gt;=informatieblad!$I$20,W46))))</f>
        <v>0.5</v>
      </c>
      <c r="Y46" s="158">
        <f>ROUND((((2*(C44+D44+H44))*K44)/1000000),2)</f>
        <v>0</v>
      </c>
      <c r="Z46" s="112">
        <f>((IF(Y46&lt;=informatieblad!$H$13,informatieblad!$H$13,IF(Y46&gt;=informatieblad!$H$13,Y46))))</f>
        <v>0</v>
      </c>
      <c r="AA46" s="113">
        <f>((Z46*AN46)+(Z46*AD46))*C46</f>
        <v>0</v>
      </c>
      <c r="AB46" s="114">
        <f>((X46*AO46)+(X46*AE46))*C46</f>
        <v>0</v>
      </c>
      <c r="AC46" s="115" t="str">
        <f>H46</f>
        <v>Options None</v>
      </c>
      <c r="AD46" s="115">
        <f>VLOOKUP(H46,informatieblad!$A$37:$D$41,2,FALSE)</f>
        <v>0</v>
      </c>
      <c r="AE46" s="115">
        <f>VLOOKUP(H46,informatieblad!$A$37:$D$41,4,FALSE)</f>
        <v>0</v>
      </c>
      <c r="AF46" s="159">
        <f>(MAX(B44,D44))</f>
        <v>0</v>
      </c>
      <c r="AG46" s="160">
        <f>(MAX(C44,E44))</f>
        <v>0</v>
      </c>
      <c r="AH46" s="160">
        <f>(MAX(A44:E44))</f>
        <v>0</v>
      </c>
      <c r="AI46" s="295">
        <f>(D44+H44)-B44</f>
        <v>0</v>
      </c>
      <c r="AJ46" s="161">
        <f>(MAX(AL46,AK46))</f>
        <v>0</v>
      </c>
      <c r="AK46" s="162">
        <f>ROUND((SQRT((((MAX(F44,H44))^2)+(K44^2)))),0)</f>
        <v>0</v>
      </c>
      <c r="AL46" s="163">
        <f>ROUND((SQRT((((MAX(I44,J44))^2)+(K44^2)))),0)</f>
        <v>0</v>
      </c>
      <c r="AM46" s="119">
        <f>LOOKUP(AH46,informatieblad!$C$27:$C$32,informatieblad!$A$27:$A$32)</f>
        <v>0.5</v>
      </c>
      <c r="AN46" s="118">
        <f>VLOOKUP(AM46,informatieblad!$A$27:$M$32,6,FALSE)</f>
        <v>0</v>
      </c>
      <c r="AO46" s="118">
        <f>VLOOKUP(AM46,informatieblad!$A$27:$M$32,8,FALSE)</f>
        <v>45.1248</v>
      </c>
      <c r="AP46" s="120"/>
      <c r="AQ46" s="121">
        <f>ROUND((AP47*Z46),1)</f>
        <v>0</v>
      </c>
      <c r="AS46" s="111">
        <f>(IF(B45=AS44,((2*B44)+(2*C44)),IF(B45=AS45,((2*B44)+(2*C44)),0)))*C46</f>
        <v>0</v>
      </c>
      <c r="AT46" s="261">
        <f>(IF(D45=AS44,((2*D44)+(2*E44)),IF(D45=AS45,((2*D44)+(2*E44)),0)))*C46</f>
        <v>0</v>
      </c>
      <c r="AU46" s="111">
        <f>(IF(D45=AU44,((2*B44)+(2*C44)),IF(D45=AU45,((2*B44)+(2*C44)),0)))*C46</f>
        <v>0</v>
      </c>
      <c r="AV46" s="260">
        <f>(IF(D45=AU44,((2*D44)+(2*E44)),IF(D45=AU45,((2*D44)+(2*E44)),0)))*C46</f>
        <v>0</v>
      </c>
      <c r="AW46" s="261">
        <f>(IF(B45=AW44,((2*B44)+(2*C44)),IF(B45=AW45,((2*B44)+(2*C44)),0)))*C46</f>
        <v>0</v>
      </c>
      <c r="AX46" s="260">
        <f>(IF(D45=AW44,((2*D44)+(2*E44)),IF(D45=AW45,((2*D44)+(2*E44)),0)))*C46</f>
        <v>0</v>
      </c>
      <c r="AY46" s="111">
        <f>(IF(B45=AY44,((2*B44)+(2*C44)),0))*C46</f>
        <v>0</v>
      </c>
      <c r="AZ46" s="260">
        <f>(IF(D45=AY44,((2*D44)+(2*E44)),0))*C46</f>
        <v>0</v>
      </c>
      <c r="BB46" s="268">
        <f>K44*C46</f>
        <v>0</v>
      </c>
      <c r="BD46" s="268">
        <f>(AF46+100)*C46</f>
        <v>0</v>
      </c>
      <c r="BF46" s="111" t="str">
        <f>IF(B45=informatieblad!$A$6,informatieblad!$B$6,IF(B45=informatieblad!$A$7,informatieblad!$B$7,IF(B45=informatieblad!$A$8,informatieblad!$B$8,IF(B45=informatieblad!$A$2,informatieblad!$B$2,IF(B45=informatieblad!$A$3,informatieblad!$B$3,IF(B45=informatieblad!$A$4,informatieblad!$B$4,IF(B45=informatieblad!$A$5,informatieblad!$B$5,"")))))))</f>
        <v/>
      </c>
      <c r="BG46" s="275" t="str">
        <f>IF(D45=informatieblad!$A$6,informatieblad!$B$6,IF(D45=informatieblad!$A$7,informatieblad!$B$7,IF(D45=informatieblad!$A$8,informatieblad!$B$8,IF(D45=informatieblad!$A$2,informatieblad!$B$2,IF(D45=informatieblad!$A$3,informatieblad!$B$3,IF(D45=informatieblad!$A$4,informatieblad!$B$4,IF(D45=informatieblad!$A$5,informatieblad!$B$5,"")))))))</f>
        <v/>
      </c>
      <c r="BH46" s="276">
        <f>IF(BF46=BH44,(4*C46),0)</f>
        <v>0</v>
      </c>
      <c r="BI46" s="276">
        <f>IF(BG46=BH44,(4*C46),0)</f>
        <v>0</v>
      </c>
      <c r="BJ46" s="276">
        <f>IF(BF46=BJ44,(4*C46),0)</f>
        <v>0</v>
      </c>
      <c r="BK46" s="274">
        <f>IF(BG46=BJ44,(4*C46),0)</f>
        <v>0</v>
      </c>
    </row>
    <row r="47" spans="1:63" ht="5.0999999999999996" customHeight="1" thickBot="1">
      <c r="A47" s="145"/>
      <c r="B47" s="122"/>
      <c r="C47" s="122"/>
      <c r="D47" s="122"/>
      <c r="E47" s="122"/>
      <c r="F47" s="122"/>
      <c r="G47" s="122"/>
      <c r="H47" s="122"/>
      <c r="I47" s="122"/>
      <c r="J47" s="122"/>
      <c r="K47" s="146"/>
    </row>
    <row r="48" spans="1:63" ht="15" thickBot="1">
      <c r="A48" s="445"/>
      <c r="B48" s="147"/>
      <c r="C48" s="147"/>
      <c r="D48" s="147"/>
      <c r="E48" s="147">
        <f>C48</f>
        <v>0</v>
      </c>
      <c r="F48" s="147">
        <f>(B48&gt;0)*$K$7</f>
        <v>0</v>
      </c>
      <c r="G48" s="147">
        <f>(B48&gt;0)*$K$8</f>
        <v>0</v>
      </c>
      <c r="H48" s="147"/>
      <c r="I48" s="149">
        <f>(C48-E48)/2</f>
        <v>0</v>
      </c>
      <c r="J48" s="150">
        <f>(C48-E48)-I48</f>
        <v>0</v>
      </c>
      <c r="K48" s="151"/>
      <c r="L48" s="345" t="s">
        <v>20</v>
      </c>
      <c r="V48" s="97" t="s">
        <v>14</v>
      </c>
      <c r="W48" s="98" t="s">
        <v>27</v>
      </c>
      <c r="X48" s="98" t="s">
        <v>28</v>
      </c>
      <c r="Y48" s="98" t="s">
        <v>27</v>
      </c>
      <c r="Z48" s="98" t="s">
        <v>28</v>
      </c>
      <c r="AA48" s="98" t="s">
        <v>29</v>
      </c>
      <c r="AB48" s="66" t="s">
        <v>30</v>
      </c>
      <c r="AC48" s="153" t="s">
        <v>31</v>
      </c>
      <c r="AD48" s="153"/>
      <c r="AE48" s="153"/>
      <c r="AF48" s="154" t="s">
        <v>83</v>
      </c>
      <c r="AG48" s="100" t="s">
        <v>83</v>
      </c>
      <c r="AH48" s="100" t="s">
        <v>83</v>
      </c>
      <c r="AI48" s="100" t="s">
        <v>83</v>
      </c>
      <c r="AJ48" s="98" t="s">
        <v>84</v>
      </c>
      <c r="AK48" s="98" t="s">
        <v>85</v>
      </c>
      <c r="AL48" s="100" t="s">
        <v>86</v>
      </c>
      <c r="AM48" s="100" t="s">
        <v>34</v>
      </c>
      <c r="AN48" s="98" t="s">
        <v>32</v>
      </c>
      <c r="AO48" s="98" t="s">
        <v>32</v>
      </c>
      <c r="AP48" s="98" t="s">
        <v>35</v>
      </c>
      <c r="AQ48" s="101" t="s">
        <v>36</v>
      </c>
      <c r="AS48" s="97" t="str">
        <f>informatieblad!$A$6</f>
        <v>FL20</v>
      </c>
      <c r="AT48" s="99"/>
      <c r="AU48" s="97" t="str">
        <f>informatieblad!$A$7</f>
        <v>FL30</v>
      </c>
      <c r="AV48" s="66"/>
      <c r="AW48" s="99" t="str">
        <f>informatieblad!$A$8</f>
        <v>FL40</v>
      </c>
      <c r="AX48" s="66"/>
      <c r="AY48" s="97" t="str">
        <f>informatieblad!$A$5</f>
        <v>none</v>
      </c>
      <c r="AZ48" s="264"/>
      <c r="BB48" s="266" t="s">
        <v>17</v>
      </c>
      <c r="BD48" s="266" t="s">
        <v>37</v>
      </c>
      <c r="BF48" s="269" t="s">
        <v>38</v>
      </c>
      <c r="BG48" s="272"/>
      <c r="BH48" s="272">
        <f>informatieblad!$B$3</f>
        <v>0</v>
      </c>
      <c r="BI48" s="272">
        <f>informatieblad!$B$3</f>
        <v>0</v>
      </c>
      <c r="BJ48" s="272">
        <f>informatieblad!$B$4</f>
        <v>0</v>
      </c>
      <c r="BK48" s="264">
        <f>informatieblad!$B$4</f>
        <v>0</v>
      </c>
    </row>
    <row r="49" spans="1:63">
      <c r="A49" s="446"/>
      <c r="B49" s="471" t="str">
        <f>IF($B48&gt;0,IF(MAX(B48:C48)&lt;informatieblad!$Q$4,informatieblad!$P$3,IF(MAX(B48:C48)&gt;informatieblad!$R$4,informatieblad!$P$5,informatieblad!$P$4)),"")</f>
        <v/>
      </c>
      <c r="C49" s="472"/>
      <c r="D49" s="471" t="str">
        <f>IF($B48&gt;0,IF(MAX(D48:E48)&lt;informatieblad!$Q$4,informatieblad!$P$3,IF(MAX(D48:E48)&gt;informatieblad!$R$4,informatieblad!$P$5,informatieblad!$P$4)),"")</f>
        <v/>
      </c>
      <c r="E49" s="472"/>
      <c r="F49" s="134" t="str">
        <f>A48&amp;"-"&amp;informatieblad!$B$20&amp;"-"&amp;B48&amp;"-"&amp;C48&amp;"-"&amp;D48&amp;"-"&amp;E48&amp;"-"&amp;F48&amp;"-"&amp;G48&amp;"-"&amp;H48&amp;"-"&amp;I48&amp;"-"&amp;J48&amp;"-"&amp;K48&amp;"-"&amp;B49&amp;"-"&amp;H50</f>
        <v>-RctJ----0-0-0--0-0---Options None</v>
      </c>
      <c r="G49" s="134"/>
      <c r="H49" s="88"/>
      <c r="I49" s="469" t="s">
        <v>82</v>
      </c>
      <c r="J49" s="470"/>
      <c r="K49" s="135" t="str">
        <f>(IF($B48&gt;0,(IF(300&gt;(MAX(AI50,H48))*1.732,300,(MAX(AI50,H48))*1.732)+F48+G48),""))</f>
        <v/>
      </c>
      <c r="L49" s="83"/>
      <c r="V49" s="103">
        <f>A48</f>
        <v>0</v>
      </c>
      <c r="W49" s="104" t="s">
        <v>39</v>
      </c>
      <c r="X49" s="104" t="s">
        <v>39</v>
      </c>
      <c r="Y49" s="104" t="s">
        <v>40</v>
      </c>
      <c r="Z49" s="104" t="s">
        <v>40</v>
      </c>
      <c r="AA49" s="104" t="s">
        <v>40</v>
      </c>
      <c r="AB49" s="105"/>
      <c r="AC49" s="155" t="s">
        <v>27</v>
      </c>
      <c r="AD49" s="155" t="s">
        <v>40</v>
      </c>
      <c r="AE49" s="155" t="s">
        <v>41</v>
      </c>
      <c r="AF49" s="156" t="s">
        <v>87</v>
      </c>
      <c r="AG49" s="104" t="s">
        <v>88</v>
      </c>
      <c r="AH49" s="104"/>
      <c r="AI49" s="136" t="s">
        <v>172</v>
      </c>
      <c r="AK49" s="136" t="s">
        <v>87</v>
      </c>
      <c r="AL49" s="136" t="s">
        <v>88</v>
      </c>
      <c r="AM49" s="107"/>
      <c r="AN49" s="104" t="s">
        <v>40</v>
      </c>
      <c r="AO49" s="104" t="s">
        <v>41</v>
      </c>
      <c r="AP49" s="108"/>
      <c r="AQ49" s="109"/>
      <c r="AS49" s="262" t="str">
        <f>informatieblad!$A$2</f>
        <v>FL20 loose</v>
      </c>
      <c r="AT49" s="263"/>
      <c r="AU49" s="262" t="str">
        <f>informatieblad!$A$3</f>
        <v>FL30 loose</v>
      </c>
      <c r="AV49" s="105"/>
      <c r="AW49" s="263" t="str">
        <f>informatieblad!$A$4</f>
        <v>FL40 loose</v>
      </c>
      <c r="AX49" s="105"/>
      <c r="AY49" s="265"/>
      <c r="AZ49" s="105"/>
      <c r="BB49" s="267"/>
      <c r="BD49" s="267"/>
      <c r="BF49" s="265" t="s">
        <v>47</v>
      </c>
      <c r="BG49" s="106" t="s">
        <v>48</v>
      </c>
      <c r="BH49" s="83" t="s">
        <v>23</v>
      </c>
      <c r="BI49" s="83" t="s">
        <v>23</v>
      </c>
      <c r="BJ49" s="83" t="s">
        <v>23</v>
      </c>
      <c r="BK49" s="273" t="s">
        <v>23</v>
      </c>
    </row>
    <row r="50" spans="1:63" ht="15.75" thickBot="1">
      <c r="A50" s="476"/>
      <c r="B50" s="137" t="s">
        <v>23</v>
      </c>
      <c r="C50" s="157"/>
      <c r="D50" s="139"/>
      <c r="E50" s="140">
        <f>C50*X50</f>
        <v>0</v>
      </c>
      <c r="F50" s="141" t="s">
        <v>24</v>
      </c>
      <c r="G50" s="293"/>
      <c r="H50" s="461" t="s">
        <v>25</v>
      </c>
      <c r="I50" s="473"/>
      <c r="J50" s="473"/>
      <c r="K50" s="474"/>
      <c r="L50" s="176"/>
      <c r="V50" s="111"/>
      <c r="W50" s="112">
        <f>(((2*(C48+D48+H48))*K48)/1000000)</f>
        <v>0</v>
      </c>
      <c r="X50" s="112">
        <f>((IF(W50&lt;=informatieblad!$I$20,informatieblad!$I$20,IF(W50&gt;=informatieblad!$I$20,W50))))</f>
        <v>0.5</v>
      </c>
      <c r="Y50" s="158">
        <f>ROUND((((2*(C48+D48+H48))*K48)/1000000),2)</f>
        <v>0</v>
      </c>
      <c r="Z50" s="112">
        <f>((IF(Y50&lt;=informatieblad!$H$13,informatieblad!$H$13,IF(Y50&gt;=informatieblad!$H$13,Y50))))</f>
        <v>0</v>
      </c>
      <c r="AA50" s="113">
        <f>((Z50*AN50)+(Z50*AD50))*C50</f>
        <v>0</v>
      </c>
      <c r="AB50" s="114">
        <f>((X50*AO50)+(X50*AE50))*C50</f>
        <v>0</v>
      </c>
      <c r="AC50" s="115" t="str">
        <f>H50</f>
        <v>Options None</v>
      </c>
      <c r="AD50" s="115">
        <f>VLOOKUP(H50,informatieblad!$A$37:$D$41,2,FALSE)</f>
        <v>0</v>
      </c>
      <c r="AE50" s="115">
        <f>VLOOKUP(H50,informatieblad!$A$37:$D$41,4,FALSE)</f>
        <v>0</v>
      </c>
      <c r="AF50" s="159">
        <f>(MAX(B48,D48))</f>
        <v>0</v>
      </c>
      <c r="AG50" s="160">
        <f>(MAX(C48,E48))</f>
        <v>0</v>
      </c>
      <c r="AH50" s="160">
        <f>(MAX(A48:E48))</f>
        <v>0</v>
      </c>
      <c r="AI50" s="295">
        <f>(D48+H48)-B48</f>
        <v>0</v>
      </c>
      <c r="AJ50" s="161">
        <f>(MAX(AL50,AK50))</f>
        <v>0</v>
      </c>
      <c r="AK50" s="162">
        <f>ROUND((SQRT((((MAX(F48,H48))^2)+(K48^2)))),0)</f>
        <v>0</v>
      </c>
      <c r="AL50" s="163">
        <f>ROUND((SQRT((((MAX(I48,J48))^2)+(K48^2)))),0)</f>
        <v>0</v>
      </c>
      <c r="AM50" s="119">
        <f>LOOKUP(AH50,informatieblad!$C$27:$C$32,informatieblad!$A$27:$A$32)</f>
        <v>0.5</v>
      </c>
      <c r="AN50" s="118">
        <f>VLOOKUP(AM50,informatieblad!$A$27:$M$32,6,FALSE)</f>
        <v>0</v>
      </c>
      <c r="AO50" s="118">
        <f>VLOOKUP(AM50,informatieblad!$A$27:$M$32,8,FALSE)</f>
        <v>45.1248</v>
      </c>
      <c r="AP50" s="120"/>
      <c r="AQ50" s="121">
        <f>ROUND((AP51*Z50),1)</f>
        <v>0</v>
      </c>
      <c r="AS50" s="111">
        <f>(IF(B49=AS48,((2*B48)+(2*C48)),IF(B49=AS49,((2*B48)+(2*C48)),0)))*C50</f>
        <v>0</v>
      </c>
      <c r="AT50" s="261">
        <f>(IF(D49=AS48,((2*D48)+(2*E48)),IF(D49=AS49,((2*D48)+(2*E48)),0)))*C50</f>
        <v>0</v>
      </c>
      <c r="AU50" s="111">
        <f>(IF(D49=AU48,((2*B48)+(2*C48)),IF(D49=AU49,((2*B48)+(2*C48)),0)))*C50</f>
        <v>0</v>
      </c>
      <c r="AV50" s="260">
        <f>(IF(D49=AU48,((2*D48)+(2*E48)),IF(D49=AU49,((2*D48)+(2*E48)),0)))*C50</f>
        <v>0</v>
      </c>
      <c r="AW50" s="261">
        <f>(IF(B49=AW48,((2*B48)+(2*C48)),IF(B49=AW49,((2*B48)+(2*C48)),0)))*C50</f>
        <v>0</v>
      </c>
      <c r="AX50" s="260">
        <f>(IF(D49=AW48,((2*D48)+(2*E48)),IF(D49=AW49,((2*D48)+(2*E48)),0)))*C50</f>
        <v>0</v>
      </c>
      <c r="AY50" s="111">
        <f>(IF(B49=AY48,((2*B48)+(2*C48)),0))*C50</f>
        <v>0</v>
      </c>
      <c r="AZ50" s="260">
        <f>(IF(D49=AY48,((2*D48)+(2*E48)),0))*C50</f>
        <v>0</v>
      </c>
      <c r="BB50" s="268">
        <f>K48*C50</f>
        <v>0</v>
      </c>
      <c r="BD50" s="268">
        <f>(AF50+100)*C50</f>
        <v>0</v>
      </c>
      <c r="BF50" s="111" t="str">
        <f>IF(B49=informatieblad!$A$6,informatieblad!$B$6,IF(B49=informatieblad!$A$7,informatieblad!$B$7,IF(B49=informatieblad!$A$8,informatieblad!$B$8,IF(B49=informatieblad!$A$2,informatieblad!$B$2,IF(B49=informatieblad!$A$3,informatieblad!$B$3,IF(B49=informatieblad!$A$4,informatieblad!$B$4,IF(B49=informatieblad!$A$5,informatieblad!$B$5,"")))))))</f>
        <v/>
      </c>
      <c r="BG50" s="275" t="str">
        <f>IF(D49=informatieblad!$A$6,informatieblad!$B$6,IF(D49=informatieblad!$A$7,informatieblad!$B$7,IF(D49=informatieblad!$A$8,informatieblad!$B$8,IF(D49=informatieblad!$A$2,informatieblad!$B$2,IF(D49=informatieblad!$A$3,informatieblad!$B$3,IF(D49=informatieblad!$A$4,informatieblad!$B$4,IF(D49=informatieblad!$A$5,informatieblad!$B$5,"")))))))</f>
        <v/>
      </c>
      <c r="BH50" s="276">
        <f>IF(BF50=BH48,(4*C50),0)</f>
        <v>0</v>
      </c>
      <c r="BI50" s="276">
        <f>IF(BG50=BH48,(4*C50),0)</f>
        <v>0</v>
      </c>
      <c r="BJ50" s="276">
        <f>IF(BF50=BJ48,(4*C50),0)</f>
        <v>0</v>
      </c>
      <c r="BK50" s="274">
        <f>IF(BG50=BJ48,(4*C50),0)</f>
        <v>0</v>
      </c>
    </row>
    <row r="51" spans="1:63" ht="5.0999999999999996" customHeight="1" thickBot="1">
      <c r="A51" s="145"/>
      <c r="B51" s="122"/>
      <c r="C51" s="122"/>
      <c r="D51" s="122"/>
      <c r="E51" s="122"/>
      <c r="F51" s="122"/>
      <c r="G51" s="122"/>
      <c r="H51" s="122"/>
      <c r="I51" s="122"/>
      <c r="J51" s="122"/>
      <c r="K51" s="146"/>
    </row>
    <row r="52" spans="1:63" ht="14.25" customHeight="1" thickBot="1">
      <c r="A52" s="445"/>
      <c r="B52" s="147"/>
      <c r="C52" s="147"/>
      <c r="D52" s="147"/>
      <c r="E52" s="147">
        <f>C52</f>
        <v>0</v>
      </c>
      <c r="F52" s="147">
        <f>(B52&gt;0)*$K$7</f>
        <v>0</v>
      </c>
      <c r="G52" s="147">
        <f>(B52&gt;0)*$K$8</f>
        <v>0</v>
      </c>
      <c r="H52" s="147"/>
      <c r="I52" s="149">
        <f>(C52-E52)/2</f>
        <v>0</v>
      </c>
      <c r="J52" s="150">
        <f>(C52-E52)-I52</f>
        <v>0</v>
      </c>
      <c r="K52" s="151"/>
      <c r="L52" s="345" t="s">
        <v>20</v>
      </c>
      <c r="V52" s="97" t="s">
        <v>14</v>
      </c>
      <c r="W52" s="98" t="s">
        <v>27</v>
      </c>
      <c r="X52" s="98" t="s">
        <v>28</v>
      </c>
      <c r="Y52" s="98" t="s">
        <v>27</v>
      </c>
      <c r="Z52" s="98" t="s">
        <v>28</v>
      </c>
      <c r="AA52" s="98" t="s">
        <v>29</v>
      </c>
      <c r="AB52" s="66" t="s">
        <v>30</v>
      </c>
      <c r="AC52" s="153" t="s">
        <v>31</v>
      </c>
      <c r="AD52" s="153"/>
      <c r="AE52" s="153"/>
      <c r="AF52" s="154" t="s">
        <v>83</v>
      </c>
      <c r="AG52" s="100" t="s">
        <v>83</v>
      </c>
      <c r="AH52" s="100" t="s">
        <v>83</v>
      </c>
      <c r="AI52" s="100" t="s">
        <v>83</v>
      </c>
      <c r="AJ52" s="98" t="s">
        <v>84</v>
      </c>
      <c r="AK52" s="98" t="s">
        <v>85</v>
      </c>
      <c r="AL52" s="100" t="s">
        <v>86</v>
      </c>
      <c r="AM52" s="100" t="s">
        <v>34</v>
      </c>
      <c r="AN52" s="98" t="s">
        <v>32</v>
      </c>
      <c r="AO52" s="98" t="s">
        <v>32</v>
      </c>
      <c r="AP52" s="98" t="s">
        <v>35</v>
      </c>
      <c r="AQ52" s="101" t="s">
        <v>36</v>
      </c>
      <c r="AS52" s="97" t="str">
        <f>informatieblad!$A$6</f>
        <v>FL20</v>
      </c>
      <c r="AT52" s="99"/>
      <c r="AU52" s="97" t="str">
        <f>informatieblad!$A$7</f>
        <v>FL30</v>
      </c>
      <c r="AV52" s="66"/>
      <c r="AW52" s="99" t="str">
        <f>informatieblad!$A$8</f>
        <v>FL40</v>
      </c>
      <c r="AX52" s="66"/>
      <c r="AY52" s="97" t="str">
        <f>informatieblad!$A$5</f>
        <v>none</v>
      </c>
      <c r="AZ52" s="264"/>
      <c r="BB52" s="266" t="s">
        <v>17</v>
      </c>
      <c r="BD52" s="266" t="s">
        <v>37</v>
      </c>
      <c r="BF52" s="269" t="s">
        <v>38</v>
      </c>
      <c r="BG52" s="272"/>
      <c r="BH52" s="272">
        <f>informatieblad!$B$3</f>
        <v>0</v>
      </c>
      <c r="BI52" s="272">
        <f>informatieblad!$B$3</f>
        <v>0</v>
      </c>
      <c r="BJ52" s="272">
        <f>informatieblad!$B$4</f>
        <v>0</v>
      </c>
      <c r="BK52" s="264">
        <f>informatieblad!$B$4</f>
        <v>0</v>
      </c>
    </row>
    <row r="53" spans="1:63" ht="15" customHeight="1">
      <c r="A53" s="446"/>
      <c r="B53" s="471" t="str">
        <f>IF($B52&gt;0,IF(MAX(B52:C52)&lt;informatieblad!$Q$4,informatieblad!$P$3,IF(MAX(B52:C52)&gt;informatieblad!$R$4,informatieblad!$P$5,informatieblad!$P$4)),"")</f>
        <v/>
      </c>
      <c r="C53" s="472"/>
      <c r="D53" s="471" t="str">
        <f>IF($B52&gt;0,IF(MAX(D52:E52)&lt;informatieblad!$Q$4,informatieblad!$P$3,IF(MAX(D52:E52)&gt;informatieblad!$R$4,informatieblad!$P$5,informatieblad!$P$4)),"")</f>
        <v/>
      </c>
      <c r="E53" s="472"/>
      <c r="F53" s="134" t="str">
        <f>A52&amp;"-"&amp;informatieblad!$B$20&amp;"-"&amp;B52&amp;"-"&amp;C52&amp;"-"&amp;D52&amp;"-"&amp;E52&amp;"-"&amp;F52&amp;"-"&amp;G52&amp;"-"&amp;H52&amp;"-"&amp;I52&amp;"-"&amp;J52&amp;"-"&amp;K52&amp;"-"&amp;B53&amp;"-"&amp;H54</f>
        <v>-RctJ----0-0-0--0-0---Options None</v>
      </c>
      <c r="G53" s="134"/>
      <c r="H53" s="88"/>
      <c r="I53" s="469" t="s">
        <v>82</v>
      </c>
      <c r="J53" s="470"/>
      <c r="K53" s="135" t="str">
        <f>(IF($B52&gt;0,(IF(300&gt;(MAX(AI54,H52))*1.732,300,(MAX(AI54,H52))*1.732)+F52+G52),""))</f>
        <v/>
      </c>
      <c r="L53" s="83"/>
      <c r="V53" s="103">
        <f>A52</f>
        <v>0</v>
      </c>
      <c r="W53" s="104" t="s">
        <v>39</v>
      </c>
      <c r="X53" s="104" t="s">
        <v>39</v>
      </c>
      <c r="Y53" s="104" t="s">
        <v>40</v>
      </c>
      <c r="Z53" s="104" t="s">
        <v>40</v>
      </c>
      <c r="AA53" s="104" t="s">
        <v>40</v>
      </c>
      <c r="AB53" s="105"/>
      <c r="AC53" s="155" t="s">
        <v>27</v>
      </c>
      <c r="AD53" s="155" t="s">
        <v>40</v>
      </c>
      <c r="AE53" s="155" t="s">
        <v>41</v>
      </c>
      <c r="AF53" s="156" t="s">
        <v>87</v>
      </c>
      <c r="AG53" s="104" t="s">
        <v>88</v>
      </c>
      <c r="AH53" s="104"/>
      <c r="AI53" s="136" t="s">
        <v>172</v>
      </c>
      <c r="AK53" s="136" t="s">
        <v>87</v>
      </c>
      <c r="AL53" s="136" t="s">
        <v>88</v>
      </c>
      <c r="AM53" s="107"/>
      <c r="AN53" s="104" t="s">
        <v>40</v>
      </c>
      <c r="AO53" s="104" t="s">
        <v>41</v>
      </c>
      <c r="AP53" s="108"/>
      <c r="AQ53" s="109"/>
      <c r="AS53" s="262" t="str">
        <f>informatieblad!$A$2</f>
        <v>FL20 loose</v>
      </c>
      <c r="AT53" s="263"/>
      <c r="AU53" s="262" t="str">
        <f>informatieblad!$A$3</f>
        <v>FL30 loose</v>
      </c>
      <c r="AV53" s="105"/>
      <c r="AW53" s="263" t="str">
        <f>informatieblad!$A$4</f>
        <v>FL40 loose</v>
      </c>
      <c r="AX53" s="105"/>
      <c r="AY53" s="265"/>
      <c r="AZ53" s="105"/>
      <c r="BB53" s="267"/>
      <c r="BD53" s="267"/>
      <c r="BF53" s="265" t="s">
        <v>47</v>
      </c>
      <c r="BG53" s="106" t="s">
        <v>48</v>
      </c>
      <c r="BH53" s="83" t="s">
        <v>23</v>
      </c>
      <c r="BI53" s="83" t="s">
        <v>23</v>
      </c>
      <c r="BJ53" s="83" t="s">
        <v>23</v>
      </c>
      <c r="BK53" s="273" t="s">
        <v>23</v>
      </c>
    </row>
    <row r="54" spans="1:63" ht="15.75" customHeight="1" thickBot="1">
      <c r="A54" s="476"/>
      <c r="B54" s="137" t="s">
        <v>23</v>
      </c>
      <c r="C54" s="157"/>
      <c r="D54" s="139"/>
      <c r="E54" s="140">
        <f>C54*X54</f>
        <v>0</v>
      </c>
      <c r="F54" s="141" t="s">
        <v>24</v>
      </c>
      <c r="G54" s="293"/>
      <c r="H54" s="461" t="s">
        <v>25</v>
      </c>
      <c r="I54" s="473"/>
      <c r="J54" s="473"/>
      <c r="K54" s="474"/>
      <c r="L54" s="176"/>
      <c r="V54" s="111"/>
      <c r="W54" s="112">
        <f>(((2*(C52+D52+H52))*K52)/1000000)</f>
        <v>0</v>
      </c>
      <c r="X54" s="112">
        <f>((IF(W54&lt;=informatieblad!$I$20,informatieblad!$I$20,IF(W54&gt;=informatieblad!$I$20,W54))))</f>
        <v>0.5</v>
      </c>
      <c r="Y54" s="158">
        <f>ROUND((((2*(C52+D52+H52))*K52)/1000000),2)</f>
        <v>0</v>
      </c>
      <c r="Z54" s="158">
        <f>((IF(Y54&lt;=informatieblad!$H$13,informatieblad!$H$13,IF(Y54&gt;=informatieblad!$H$13,Y54))))</f>
        <v>0</v>
      </c>
      <c r="AA54" s="113">
        <f>((Z54*AN54)+(Z54*AD54))*C54</f>
        <v>0</v>
      </c>
      <c r="AB54" s="114">
        <f>((X54*AO54)+(X54*AE54))*C54</f>
        <v>0</v>
      </c>
      <c r="AC54" s="115" t="str">
        <f>H54</f>
        <v>Options None</v>
      </c>
      <c r="AD54" s="115">
        <f>VLOOKUP(H54,informatieblad!$A$37:$D$41,2,FALSE)</f>
        <v>0</v>
      </c>
      <c r="AE54" s="115">
        <f>VLOOKUP(H54,informatieblad!$A$37:$D$41,4,FALSE)</f>
        <v>0</v>
      </c>
      <c r="AF54" s="159">
        <f>(MAX(B52,D52))</f>
        <v>0</v>
      </c>
      <c r="AG54" s="160">
        <f>(MAX(C52,E52))</f>
        <v>0</v>
      </c>
      <c r="AH54" s="160">
        <f>(MAX(A52:E52))</f>
        <v>0</v>
      </c>
      <c r="AI54" s="295">
        <f>(D52+H52)-B52</f>
        <v>0</v>
      </c>
      <c r="AJ54" s="161">
        <f>(MAX(AL54,AK54))</f>
        <v>0</v>
      </c>
      <c r="AK54" s="162">
        <f>ROUND((SQRT((((MAX(F52,H52))^2)+(K52^2)))),0)</f>
        <v>0</v>
      </c>
      <c r="AL54" s="163">
        <f>ROUND((SQRT((((MAX(I52,J52))^2)+(K52^2)))),0)</f>
        <v>0</v>
      </c>
      <c r="AM54" s="119">
        <f>LOOKUP(AH54,informatieblad!$C$27:$C$32,informatieblad!$A$27:$A$32)</f>
        <v>0.5</v>
      </c>
      <c r="AN54" s="118">
        <f>VLOOKUP(AM54,informatieblad!$A$27:$M$32,6,FALSE)</f>
        <v>0</v>
      </c>
      <c r="AO54" s="118">
        <f>VLOOKUP(AM54,informatieblad!$A$27:$M$32,8,FALSE)</f>
        <v>45.1248</v>
      </c>
      <c r="AP54" s="120"/>
      <c r="AQ54" s="121">
        <f>ROUND((AP139*Z54),1)</f>
        <v>0</v>
      </c>
      <c r="AS54" s="111">
        <f>(IF(B53=AS52,((2*B52)+(2*C52)),IF(B53=AS53,((2*B52)+(2*C52)),0)))*C54</f>
        <v>0</v>
      </c>
      <c r="AT54" s="261">
        <f>(IF(D53=AS52,((2*D52)+(2*E52)),IF(D53=AS53,((2*D52)+(2*E52)),0)))*C54</f>
        <v>0</v>
      </c>
      <c r="AU54" s="111">
        <f>(IF(D53=AU52,((2*B52)+(2*C52)),IF(D53=AU53,((2*B52)+(2*C52)),0)))*C54</f>
        <v>0</v>
      </c>
      <c r="AV54" s="260">
        <f>(IF(D53=AU52,((2*D52)+(2*E52)),IF(D53=AU53,((2*D52)+(2*E52)),0)))*C54</f>
        <v>0</v>
      </c>
      <c r="AW54" s="261">
        <f>(IF(B53=AW52,((2*B52)+(2*C52)),IF(B53=AW53,((2*B52)+(2*C52)),0)))*C54</f>
        <v>0</v>
      </c>
      <c r="AX54" s="260">
        <f>(IF(D53=AW52,((2*D52)+(2*E52)),IF(D53=AW53,((2*D52)+(2*E52)),0)))*C54</f>
        <v>0</v>
      </c>
      <c r="AY54" s="111">
        <f>(IF(B53=AY52,((2*B52)+(2*C52)),0))*C54</f>
        <v>0</v>
      </c>
      <c r="AZ54" s="260">
        <f>(IF(D53=AY52,((2*D52)+(2*E52)),0))*C54</f>
        <v>0</v>
      </c>
      <c r="BB54" s="268">
        <f>K52*C54</f>
        <v>0</v>
      </c>
      <c r="BD54" s="268">
        <f>(AF54+100)*C54</f>
        <v>0</v>
      </c>
      <c r="BF54" s="111" t="str">
        <f>IF(B53=informatieblad!$A$6,informatieblad!$B$6,IF(B53=informatieblad!$A$7,informatieblad!$B$7,IF(B53=informatieblad!$A$8,informatieblad!$B$8,IF(B53=informatieblad!$A$2,informatieblad!$B$2,IF(B53=informatieblad!$A$3,informatieblad!$B$3,IF(B53=informatieblad!$A$4,informatieblad!$B$4,IF(B53=informatieblad!$A$5,informatieblad!$B$5,"")))))))</f>
        <v/>
      </c>
      <c r="BG54" s="275" t="str">
        <f>IF(D53=informatieblad!$A$6,informatieblad!$B$6,IF(D53=informatieblad!$A$7,informatieblad!$B$7,IF(D53=informatieblad!$A$8,informatieblad!$B$8,IF(D53=informatieblad!$A$2,informatieblad!$B$2,IF(D53=informatieblad!$A$3,informatieblad!$B$3,IF(D53=informatieblad!$A$4,informatieblad!$B$4,IF(D53=informatieblad!$A$5,informatieblad!$B$5,"")))))))</f>
        <v/>
      </c>
      <c r="BH54" s="276">
        <f>IF(BF54=BH52,(4*C54),0)</f>
        <v>0</v>
      </c>
      <c r="BI54" s="276">
        <f>IF(BG54=BH52,(4*C54),0)</f>
        <v>0</v>
      </c>
      <c r="BJ54" s="276">
        <f>IF(BF54=BJ52,(4*C54),0)</f>
        <v>0</v>
      </c>
      <c r="BK54" s="274">
        <f>IF(BG54=BJ52,(4*C54),0)</f>
        <v>0</v>
      </c>
    </row>
    <row r="55" spans="1:63" ht="5.0999999999999996" customHeight="1" thickBot="1">
      <c r="A55" s="145"/>
      <c r="B55" s="122"/>
      <c r="C55" s="122"/>
      <c r="D55" s="122"/>
      <c r="E55" s="122"/>
      <c r="F55" s="122"/>
      <c r="G55" s="122"/>
      <c r="H55" s="122"/>
      <c r="I55" s="122"/>
      <c r="J55" s="122"/>
      <c r="K55" s="146"/>
    </row>
    <row r="56" spans="1:63" ht="15.75" customHeight="1" thickBot="1">
      <c r="A56" s="445"/>
      <c r="B56" s="147"/>
      <c r="C56" s="147"/>
      <c r="D56" s="147"/>
      <c r="E56" s="147">
        <f>C56</f>
        <v>0</v>
      </c>
      <c r="F56" s="147">
        <f>(B56&gt;0)*$K$7</f>
        <v>0</v>
      </c>
      <c r="G56" s="147">
        <f>(B56&gt;0)*$K$8</f>
        <v>0</v>
      </c>
      <c r="H56" s="147"/>
      <c r="I56" s="149">
        <f>(C56-E56)/2</f>
        <v>0</v>
      </c>
      <c r="J56" s="150">
        <f>(C56-E56)-I56</f>
        <v>0</v>
      </c>
      <c r="K56" s="151"/>
      <c r="L56" s="345" t="s">
        <v>20</v>
      </c>
      <c r="M56" s="152"/>
      <c r="V56" s="97" t="s">
        <v>14</v>
      </c>
      <c r="W56" s="98" t="s">
        <v>27</v>
      </c>
      <c r="X56" s="98" t="s">
        <v>28</v>
      </c>
      <c r="Y56" s="98" t="s">
        <v>27</v>
      </c>
      <c r="Z56" s="98" t="s">
        <v>28</v>
      </c>
      <c r="AA56" s="98" t="s">
        <v>29</v>
      </c>
      <c r="AB56" s="66" t="s">
        <v>30</v>
      </c>
      <c r="AC56" s="153" t="s">
        <v>31</v>
      </c>
      <c r="AD56" s="153"/>
      <c r="AE56" s="153"/>
      <c r="AF56" s="154" t="s">
        <v>83</v>
      </c>
      <c r="AG56" s="100" t="s">
        <v>83</v>
      </c>
      <c r="AH56" s="100" t="s">
        <v>83</v>
      </c>
      <c r="AI56" s="100" t="s">
        <v>83</v>
      </c>
      <c r="AJ56" s="98" t="s">
        <v>84</v>
      </c>
      <c r="AK56" s="98" t="s">
        <v>89</v>
      </c>
      <c r="AL56" s="100" t="s">
        <v>90</v>
      </c>
      <c r="AM56" s="100" t="s">
        <v>34</v>
      </c>
      <c r="AN56" s="98" t="s">
        <v>32</v>
      </c>
      <c r="AO56" s="98" t="s">
        <v>32</v>
      </c>
      <c r="AP56" s="98" t="s">
        <v>49</v>
      </c>
      <c r="AQ56" s="101" t="s">
        <v>36</v>
      </c>
      <c r="AS56" s="97" t="str">
        <f>informatieblad!$A$6</f>
        <v>FL20</v>
      </c>
      <c r="AT56" s="99"/>
      <c r="AU56" s="97" t="str">
        <f>informatieblad!$A$7</f>
        <v>FL30</v>
      </c>
      <c r="AV56" s="66"/>
      <c r="AW56" s="99" t="str">
        <f>informatieblad!$A$8</f>
        <v>FL40</v>
      </c>
      <c r="AX56" s="66"/>
      <c r="AY56" s="97" t="str">
        <f>informatieblad!$A$5</f>
        <v>none</v>
      </c>
      <c r="AZ56" s="264"/>
      <c r="BB56" s="266" t="s">
        <v>17</v>
      </c>
      <c r="BD56" s="266" t="s">
        <v>37</v>
      </c>
      <c r="BF56" s="269" t="s">
        <v>38</v>
      </c>
      <c r="BG56" s="272"/>
      <c r="BH56" s="272">
        <f>informatieblad!$B$3</f>
        <v>0</v>
      </c>
      <c r="BI56" s="272">
        <f>informatieblad!$B$3</f>
        <v>0</v>
      </c>
      <c r="BJ56" s="272">
        <f>informatieblad!$B$4</f>
        <v>0</v>
      </c>
      <c r="BK56" s="264">
        <f>informatieblad!$B$4</f>
        <v>0</v>
      </c>
    </row>
    <row r="57" spans="1:63" ht="15.75" customHeight="1">
      <c r="A57" s="467"/>
      <c r="B57" s="471" t="str">
        <f>IF($B56&gt;0,IF(MAX(B56:C56)&lt;informatieblad!$Q$4,informatieblad!$P$3,IF(MAX(B56:C56)&gt;informatieblad!$R$4,informatieblad!$P$5,informatieblad!$P$4)),"")</f>
        <v/>
      </c>
      <c r="C57" s="472"/>
      <c r="D57" s="471" t="str">
        <f>IF($B56&gt;0,IF(MAX(D56:E56)&lt;informatieblad!$Q$4,informatieblad!$P$3,IF(MAX(D56:E56)&gt;informatieblad!$R$4,informatieblad!$P$5,informatieblad!$P$4)),"")</f>
        <v/>
      </c>
      <c r="E57" s="472"/>
      <c r="F57" s="134" t="str">
        <f>A56&amp;"-"&amp;informatieblad!$B$20&amp;"-"&amp;B56&amp;"-"&amp;C56&amp;"-"&amp;D56&amp;"-"&amp;E56&amp;"-"&amp;F56&amp;"-"&amp;G56&amp;"-"&amp;H56&amp;"-"&amp;I56&amp;"-"&amp;J56&amp;"-"&amp;K56&amp;"-"&amp;B57&amp;"-"&amp;H58</f>
        <v>-RctJ----0-0-0--0-0---Options None</v>
      </c>
      <c r="G57" s="134"/>
      <c r="H57" s="88"/>
      <c r="I57" s="469" t="s">
        <v>82</v>
      </c>
      <c r="J57" s="470"/>
      <c r="K57" s="135" t="str">
        <f>(IF($B56&gt;0,(IF(300&gt;(MAX(AI58,H56))*1.732,300,(MAX(AI58,H56))*1.732)+F56+G56),""))</f>
        <v/>
      </c>
      <c r="L57" s="83"/>
      <c r="V57" s="103">
        <f>A56</f>
        <v>0</v>
      </c>
      <c r="W57" s="104" t="s">
        <v>39</v>
      </c>
      <c r="X57" s="104" t="s">
        <v>39</v>
      </c>
      <c r="Y57" s="104" t="s">
        <v>40</v>
      </c>
      <c r="Z57" s="104" t="s">
        <v>40</v>
      </c>
      <c r="AA57" s="104" t="s">
        <v>40</v>
      </c>
      <c r="AB57" s="105"/>
      <c r="AC57" s="155" t="s">
        <v>27</v>
      </c>
      <c r="AD57" s="155" t="s">
        <v>40</v>
      </c>
      <c r="AE57" s="155" t="s">
        <v>41</v>
      </c>
      <c r="AF57" s="156" t="s">
        <v>91</v>
      </c>
      <c r="AG57" s="104" t="s">
        <v>92</v>
      </c>
      <c r="AH57" s="104"/>
      <c r="AI57" s="136" t="s">
        <v>173</v>
      </c>
      <c r="AK57" s="136" t="s">
        <v>91</v>
      </c>
      <c r="AL57" s="136" t="s">
        <v>92</v>
      </c>
      <c r="AM57" s="107"/>
      <c r="AN57" s="104" t="s">
        <v>40</v>
      </c>
      <c r="AO57" s="104" t="s">
        <v>41</v>
      </c>
      <c r="AP57" s="108"/>
      <c r="AQ57" s="109"/>
      <c r="AS57" s="262" t="str">
        <f>informatieblad!$A$2</f>
        <v>FL20 loose</v>
      </c>
      <c r="AT57" s="263"/>
      <c r="AU57" s="262" t="str">
        <f>informatieblad!$A$3</f>
        <v>FL30 loose</v>
      </c>
      <c r="AV57" s="105"/>
      <c r="AW57" s="263" t="str">
        <f>informatieblad!$A$4</f>
        <v>FL40 loose</v>
      </c>
      <c r="AX57" s="105"/>
      <c r="AY57" s="265"/>
      <c r="AZ57" s="105"/>
      <c r="BB57" s="267"/>
      <c r="BD57" s="267"/>
      <c r="BF57" s="265" t="s">
        <v>47</v>
      </c>
      <c r="BG57" s="106" t="s">
        <v>48</v>
      </c>
      <c r="BH57" s="83" t="s">
        <v>23</v>
      </c>
      <c r="BI57" s="83" t="s">
        <v>23</v>
      </c>
      <c r="BJ57" s="83" t="s">
        <v>23</v>
      </c>
      <c r="BK57" s="273" t="s">
        <v>23</v>
      </c>
    </row>
    <row r="58" spans="1:63" ht="15.75" customHeight="1" thickBot="1">
      <c r="A58" s="468"/>
      <c r="B58" s="137" t="s">
        <v>23</v>
      </c>
      <c r="C58" s="157"/>
      <c r="D58" s="139"/>
      <c r="E58" s="140">
        <f>C58*X58</f>
        <v>0</v>
      </c>
      <c r="F58" s="141" t="s">
        <v>24</v>
      </c>
      <c r="G58" s="293"/>
      <c r="H58" s="461" t="s">
        <v>25</v>
      </c>
      <c r="I58" s="473"/>
      <c r="J58" s="473"/>
      <c r="K58" s="474"/>
      <c r="L58" s="176"/>
      <c r="Q58" s="152"/>
      <c r="V58" s="111"/>
      <c r="W58" s="112">
        <f>(((2*(C56+D56+H56))*K56)/1000000)</f>
        <v>0</v>
      </c>
      <c r="X58" s="112">
        <f>((IF(W58&lt;=informatieblad!$I$20,informatieblad!$I$20,IF(W58&gt;=informatieblad!$I$20,W58))))</f>
        <v>0.5</v>
      </c>
      <c r="Y58" s="158">
        <f>ROUND((((2*(C56+D56+H56))*K56)/1000000),2)</f>
        <v>0</v>
      </c>
      <c r="Z58" s="112">
        <f>((IF(Y58&lt;=informatieblad!$H$13,informatieblad!$H$13,IF(Y58&gt;=informatieblad!$H$13,Y58))))</f>
        <v>0</v>
      </c>
      <c r="AA58" s="113">
        <f>((Z58*AN58)+(Z58*AD58))*C58</f>
        <v>0</v>
      </c>
      <c r="AB58" s="114">
        <f>((X58*AO58)+(X58*AE58))*C58</f>
        <v>0</v>
      </c>
      <c r="AC58" s="115" t="str">
        <f>H58</f>
        <v>Options None</v>
      </c>
      <c r="AD58" s="115">
        <f>VLOOKUP(H58,informatieblad!$A$37:$D$41,2,FALSE)</f>
        <v>0</v>
      </c>
      <c r="AE58" s="115">
        <f>VLOOKUP(H58,informatieblad!$A$37:$D$41,4,FALSE)</f>
        <v>0</v>
      </c>
      <c r="AF58" s="159">
        <f>(MAX(B56,D56))</f>
        <v>0</v>
      </c>
      <c r="AG58" s="160">
        <f>(MAX(C56,E56))</f>
        <v>0</v>
      </c>
      <c r="AH58" s="160">
        <f>(MAX(A56:E56))</f>
        <v>0</v>
      </c>
      <c r="AI58" s="295">
        <f>(D56+H56)-B56</f>
        <v>0</v>
      </c>
      <c r="AJ58" s="161">
        <f>(MAX(AL58,AK58))</f>
        <v>0</v>
      </c>
      <c r="AK58" s="162">
        <f>ROUND((SQRT((((MAX(F56,H56))^2)+(K56^2)))),0)</f>
        <v>0</v>
      </c>
      <c r="AL58" s="163">
        <f>ROUND((SQRT((((MAX(I56,J56))^2)+(K56^2)))),0)</f>
        <v>0</v>
      </c>
      <c r="AM58" s="119">
        <f>LOOKUP(AH58,informatieblad!$C$27:$C$32,informatieblad!$A$27:$A$32)</f>
        <v>0.5</v>
      </c>
      <c r="AN58" s="118">
        <f>VLOOKUP(AM58,informatieblad!$A$27:$M$32,6,FALSE)</f>
        <v>0</v>
      </c>
      <c r="AO58" s="118">
        <f>VLOOKUP(AM58,informatieblad!$A$27:$M$32,8,FALSE)</f>
        <v>45.1248</v>
      </c>
      <c r="AQ58" s="121">
        <f>ROUND((AP59*Z58),1)</f>
        <v>0</v>
      </c>
      <c r="AS58" s="111">
        <f>(IF(B57=AS56,((2*B56)+(2*C56)),IF(B57=AS57,((2*B56)+(2*C56)),0)))*C58</f>
        <v>0</v>
      </c>
      <c r="AT58" s="261">
        <f>(IF(D57=AS56,((2*D56)+(2*E56)),IF(D57=AS57,((2*D56)+(2*E56)),0)))*C58</f>
        <v>0</v>
      </c>
      <c r="AU58" s="111">
        <f>(IF(D57=AU56,((2*B56)+(2*C56)),IF(D57=AU57,((2*B56)+(2*C56)),0)))*C58</f>
        <v>0</v>
      </c>
      <c r="AV58" s="260">
        <f>(IF(D57=AU56,((2*D56)+(2*E56)),IF(D57=AU57,((2*D56)+(2*E56)),0)))*C58</f>
        <v>0</v>
      </c>
      <c r="AW58" s="261">
        <f>(IF(B57=AW56,((2*B56)+(2*C56)),IF(B57=AW57,((2*B56)+(2*C56)),0)))*C58</f>
        <v>0</v>
      </c>
      <c r="AX58" s="260">
        <f>(IF(D57=AW56,((2*D56)+(2*E56)),IF(D57=AW57,((2*D56)+(2*E56)),0)))*C58</f>
        <v>0</v>
      </c>
      <c r="AY58" s="111">
        <f>(IF(B57=AY56,((2*B56)+(2*C56)),0))*C58</f>
        <v>0</v>
      </c>
      <c r="AZ58" s="260">
        <f>(IF(D57=AY56,((2*D56)+(2*E56)),0))*C58</f>
        <v>0</v>
      </c>
      <c r="BB58" s="268">
        <f>K56*C58</f>
        <v>0</v>
      </c>
      <c r="BD58" s="268">
        <f>(AF58+100)*C58</f>
        <v>0</v>
      </c>
      <c r="BF58" s="111" t="str">
        <f>IF(B57=informatieblad!$A$6,informatieblad!$B$6,IF(B57=informatieblad!$A$7,informatieblad!$B$7,IF(B57=informatieblad!$A$8,informatieblad!$B$8,IF(B57=informatieblad!$A$2,informatieblad!$B$2,IF(B57=informatieblad!$A$3,informatieblad!$B$3,IF(B57=informatieblad!$A$4,informatieblad!$B$4,IF(B57=informatieblad!$A$5,informatieblad!$B$5,"")))))))</f>
        <v/>
      </c>
      <c r="BG58" s="275" t="str">
        <f>IF(D57=informatieblad!$A$6,informatieblad!$B$6,IF(D57=informatieblad!$A$7,informatieblad!$B$7,IF(D57=informatieblad!$A$8,informatieblad!$B$8,IF(D57=informatieblad!$A$2,informatieblad!$B$2,IF(D57=informatieblad!$A$3,informatieblad!$B$3,IF(D57=informatieblad!$A$4,informatieblad!$B$4,IF(D57=informatieblad!$A$5,informatieblad!$B$5,"")))))))</f>
        <v/>
      </c>
      <c r="BH58" s="276">
        <f>IF(BF58=BH56,(4*C58),0)</f>
        <v>0</v>
      </c>
      <c r="BI58" s="276">
        <f>IF(BG58=BH56,(4*C58),0)</f>
        <v>0</v>
      </c>
      <c r="BJ58" s="276">
        <f>IF(BF58=BJ56,(4*C58),0)</f>
        <v>0</v>
      </c>
      <c r="BK58" s="274">
        <f>IF(BG58=BJ56,(4*C58),0)</f>
        <v>0</v>
      </c>
    </row>
    <row r="59" spans="1:63" ht="5.0999999999999996" customHeight="1" thickBot="1">
      <c r="A59" s="145"/>
      <c r="B59" s="122"/>
      <c r="C59" s="122"/>
      <c r="D59" s="122"/>
      <c r="E59" s="122"/>
      <c r="F59" s="122"/>
      <c r="G59" s="122"/>
      <c r="H59" s="122"/>
      <c r="I59" s="122"/>
      <c r="J59" s="122"/>
      <c r="K59" s="146"/>
      <c r="AP59" s="120">
        <f>VLOOKUP(AM58,informatieblad!$A$27:$M$32,13,FALSE)</f>
        <v>4</v>
      </c>
    </row>
    <row r="60" spans="1:63" ht="15.75" customHeight="1" thickBot="1">
      <c r="A60" s="445"/>
      <c r="B60" s="147"/>
      <c r="C60" s="147"/>
      <c r="D60" s="147"/>
      <c r="E60" s="147">
        <f>C60</f>
        <v>0</v>
      </c>
      <c r="F60" s="147">
        <f>(B60&gt;0)*$K$7</f>
        <v>0</v>
      </c>
      <c r="G60" s="147">
        <f>(B60&gt;0)*$K$8</f>
        <v>0</v>
      </c>
      <c r="H60" s="147"/>
      <c r="I60" s="149">
        <f>(C60-E60)/2</f>
        <v>0</v>
      </c>
      <c r="J60" s="150">
        <f>(C60-E60)-I60</f>
        <v>0</v>
      </c>
      <c r="K60" s="151"/>
      <c r="L60" s="345" t="s">
        <v>20</v>
      </c>
      <c r="V60" s="97" t="s">
        <v>14</v>
      </c>
      <c r="W60" s="98" t="s">
        <v>27</v>
      </c>
      <c r="X60" s="98" t="s">
        <v>28</v>
      </c>
      <c r="Y60" s="98" t="s">
        <v>27</v>
      </c>
      <c r="Z60" s="98" t="s">
        <v>28</v>
      </c>
      <c r="AA60" s="98" t="s">
        <v>29</v>
      </c>
      <c r="AB60" s="66" t="s">
        <v>30</v>
      </c>
      <c r="AC60" s="153" t="s">
        <v>31</v>
      </c>
      <c r="AD60" s="153"/>
      <c r="AE60" s="153"/>
      <c r="AF60" s="154" t="s">
        <v>83</v>
      </c>
      <c r="AG60" s="100" t="s">
        <v>83</v>
      </c>
      <c r="AH60" s="100" t="s">
        <v>83</v>
      </c>
      <c r="AI60" s="100" t="s">
        <v>83</v>
      </c>
      <c r="AJ60" s="98" t="s">
        <v>84</v>
      </c>
      <c r="AK60" s="98" t="s">
        <v>89</v>
      </c>
      <c r="AL60" s="100" t="s">
        <v>90</v>
      </c>
      <c r="AM60" s="100" t="s">
        <v>34</v>
      </c>
      <c r="AN60" s="98" t="s">
        <v>32</v>
      </c>
      <c r="AO60" s="98" t="s">
        <v>32</v>
      </c>
      <c r="AP60" s="98" t="s">
        <v>35</v>
      </c>
      <c r="AQ60" s="101" t="s">
        <v>36</v>
      </c>
      <c r="AS60" s="97" t="str">
        <f>informatieblad!$A$6</f>
        <v>FL20</v>
      </c>
      <c r="AT60" s="99"/>
      <c r="AU60" s="97" t="str">
        <f>informatieblad!$A$7</f>
        <v>FL30</v>
      </c>
      <c r="AV60" s="66"/>
      <c r="AW60" s="99" t="str">
        <f>informatieblad!$A$8</f>
        <v>FL40</v>
      </c>
      <c r="AX60" s="66"/>
      <c r="AY60" s="97" t="str">
        <f>informatieblad!$A$5</f>
        <v>none</v>
      </c>
      <c r="AZ60" s="264"/>
      <c r="BB60" s="266" t="s">
        <v>17</v>
      </c>
      <c r="BD60" s="266" t="s">
        <v>37</v>
      </c>
      <c r="BF60" s="269" t="s">
        <v>38</v>
      </c>
      <c r="BG60" s="272"/>
      <c r="BH60" s="272">
        <f>informatieblad!$B$3</f>
        <v>0</v>
      </c>
      <c r="BI60" s="272">
        <f>informatieblad!$B$3</f>
        <v>0</v>
      </c>
      <c r="BJ60" s="272">
        <f>informatieblad!$B$4</f>
        <v>0</v>
      </c>
      <c r="BK60" s="264">
        <f>informatieblad!$B$4</f>
        <v>0</v>
      </c>
    </row>
    <row r="61" spans="1:63" ht="15.75" customHeight="1">
      <c r="A61" s="475"/>
      <c r="B61" s="471" t="str">
        <f>IF($B60&gt;0,IF(MAX(B60:C60)&lt;informatieblad!$Q$4,informatieblad!$P$3,IF(MAX(B60:C60)&gt;informatieblad!$R$4,informatieblad!$P$5,informatieblad!$P$4)),"")</f>
        <v/>
      </c>
      <c r="C61" s="472"/>
      <c r="D61" s="471" t="str">
        <f>IF($B60&gt;0,IF(MAX(D60:E60)&lt;informatieblad!$Q$4,informatieblad!$P$3,IF(MAX(D60:E60)&gt;informatieblad!$R$4,informatieblad!$P$5,informatieblad!$P$4)),"")</f>
        <v/>
      </c>
      <c r="E61" s="472"/>
      <c r="F61" s="134" t="str">
        <f>A60&amp;"-"&amp;informatieblad!$B$20&amp;"-"&amp;B60&amp;"-"&amp;C60&amp;"-"&amp;D60&amp;"-"&amp;E60&amp;"-"&amp;F60&amp;"-"&amp;G60&amp;"-"&amp;H60&amp;"-"&amp;I60&amp;"-"&amp;J60&amp;"-"&amp;K60&amp;"-"&amp;B61&amp;"-"&amp;H62</f>
        <v>-RctJ----0-0-0--0-0---Options None</v>
      </c>
      <c r="G61" s="134"/>
      <c r="H61" s="88"/>
      <c r="I61" s="469" t="s">
        <v>82</v>
      </c>
      <c r="J61" s="470"/>
      <c r="K61" s="135" t="str">
        <f>(IF($B60&gt;0,(IF(300&gt;(MAX(AI62,H60))*1.732,300,(MAX(AI62,H60))*1.732)+F60+G60),""))</f>
        <v/>
      </c>
      <c r="L61" s="83"/>
      <c r="V61" s="103">
        <f>A60</f>
        <v>0</v>
      </c>
      <c r="W61" s="104" t="s">
        <v>39</v>
      </c>
      <c r="X61" s="104" t="s">
        <v>39</v>
      </c>
      <c r="Y61" s="104" t="s">
        <v>40</v>
      </c>
      <c r="Z61" s="104" t="s">
        <v>40</v>
      </c>
      <c r="AA61" s="104" t="s">
        <v>40</v>
      </c>
      <c r="AB61" s="105"/>
      <c r="AC61" s="155" t="s">
        <v>27</v>
      </c>
      <c r="AD61" s="155" t="s">
        <v>40</v>
      </c>
      <c r="AE61" s="155" t="s">
        <v>41</v>
      </c>
      <c r="AF61" s="156" t="s">
        <v>91</v>
      </c>
      <c r="AG61" s="104" t="s">
        <v>92</v>
      </c>
      <c r="AH61" s="104"/>
      <c r="AI61" s="136" t="s">
        <v>173</v>
      </c>
      <c r="AK61" s="136" t="s">
        <v>91</v>
      </c>
      <c r="AL61" s="136" t="s">
        <v>92</v>
      </c>
      <c r="AM61" s="107"/>
      <c r="AN61" s="104" t="s">
        <v>40</v>
      </c>
      <c r="AO61" s="104" t="s">
        <v>41</v>
      </c>
      <c r="AP61" s="108"/>
      <c r="AQ61" s="109"/>
      <c r="AS61" s="262" t="str">
        <f>informatieblad!$A$2</f>
        <v>FL20 loose</v>
      </c>
      <c r="AT61" s="263"/>
      <c r="AU61" s="262" t="str">
        <f>informatieblad!$A$3</f>
        <v>FL30 loose</v>
      </c>
      <c r="AV61" s="105"/>
      <c r="AW61" s="263" t="str">
        <f>informatieblad!$A$4</f>
        <v>FL40 loose</v>
      </c>
      <c r="AX61" s="105"/>
      <c r="AY61" s="265"/>
      <c r="AZ61" s="105"/>
      <c r="BB61" s="267"/>
      <c r="BD61" s="267"/>
      <c r="BF61" s="265" t="s">
        <v>47</v>
      </c>
      <c r="BG61" s="106" t="s">
        <v>48</v>
      </c>
      <c r="BH61" s="83" t="s">
        <v>23</v>
      </c>
      <c r="BI61" s="83" t="s">
        <v>23</v>
      </c>
      <c r="BJ61" s="83" t="s">
        <v>23</v>
      </c>
      <c r="BK61" s="273" t="s">
        <v>23</v>
      </c>
    </row>
    <row r="62" spans="1:63" ht="15.75" customHeight="1" thickBot="1">
      <c r="A62" s="476"/>
      <c r="B62" s="137" t="s">
        <v>23</v>
      </c>
      <c r="C62" s="157"/>
      <c r="D62" s="139"/>
      <c r="E62" s="140">
        <f>C62*X62</f>
        <v>0</v>
      </c>
      <c r="F62" s="141" t="s">
        <v>24</v>
      </c>
      <c r="G62" s="293"/>
      <c r="H62" s="461" t="s">
        <v>25</v>
      </c>
      <c r="I62" s="473"/>
      <c r="J62" s="473"/>
      <c r="K62" s="474"/>
      <c r="L62" s="176"/>
      <c r="V62" s="111"/>
      <c r="W62" s="112">
        <f>(((2*(C60+D60+H60))*K60)/1000000)</f>
        <v>0</v>
      </c>
      <c r="X62" s="112">
        <f>((IF(W62&lt;=informatieblad!$I$20,informatieblad!$I$20,IF(W62&gt;=informatieblad!$I$20,W62))))</f>
        <v>0.5</v>
      </c>
      <c r="Y62" s="158">
        <f>ROUND((((2*(C60+D60+H60))*K60)/1000000),2)</f>
        <v>0</v>
      </c>
      <c r="Z62" s="112">
        <f>((IF(Y62&lt;=informatieblad!$H$13,informatieblad!$H$13,IF(Y62&gt;=informatieblad!$H$13,Y62))))</f>
        <v>0</v>
      </c>
      <c r="AA62" s="113">
        <f>((Z62*AN62)+(Z62*AD62))*C62</f>
        <v>0</v>
      </c>
      <c r="AB62" s="114">
        <f>((X62*AO62)+(X62*AE62))*C62</f>
        <v>0</v>
      </c>
      <c r="AC62" s="115" t="str">
        <f>H62</f>
        <v>Options None</v>
      </c>
      <c r="AD62" s="115">
        <f>VLOOKUP(H62,informatieblad!$A$37:$D$41,2,FALSE)</f>
        <v>0</v>
      </c>
      <c r="AE62" s="115">
        <f>VLOOKUP(H62,informatieblad!$A$37:$D$41,4,FALSE)</f>
        <v>0</v>
      </c>
      <c r="AF62" s="159">
        <f>(MAX(B60,D60))</f>
        <v>0</v>
      </c>
      <c r="AG62" s="160">
        <f>(MAX(C60,E60))</f>
        <v>0</v>
      </c>
      <c r="AH62" s="160">
        <f>(MAX(A60:E60))</f>
        <v>0</v>
      </c>
      <c r="AI62" s="295">
        <f>(D60+H60)-B60</f>
        <v>0</v>
      </c>
      <c r="AJ62" s="161">
        <f>(MAX(AL62,AK62))</f>
        <v>0</v>
      </c>
      <c r="AK62" s="162">
        <f>ROUND((SQRT((((MAX(F60,H60))^2)+(K60^2)))),0)</f>
        <v>0</v>
      </c>
      <c r="AL62" s="163">
        <f>ROUND((SQRT((((MAX(I60,J60))^2)+(K60^2)))),0)</f>
        <v>0</v>
      </c>
      <c r="AM62" s="119">
        <f>LOOKUP(AH62,informatieblad!$C$27:$C$32,informatieblad!$A$27:$A$32)</f>
        <v>0.5</v>
      </c>
      <c r="AN62" s="118">
        <f>VLOOKUP(AM62,informatieblad!$A$27:$M$32,6,FALSE)</f>
        <v>0</v>
      </c>
      <c r="AO62" s="118">
        <f>VLOOKUP(AM62,informatieblad!$A$27:$M$32,8,FALSE)</f>
        <v>45.1248</v>
      </c>
      <c r="AP62" s="120"/>
      <c r="AQ62" s="121">
        <f>ROUND((AP63*Z62),1)</f>
        <v>0</v>
      </c>
      <c r="AS62" s="111">
        <f>(IF(B61=AS60,((2*B60)+(2*C60)),IF(B61=AS61,((2*B60)+(2*C60)),0)))*C62</f>
        <v>0</v>
      </c>
      <c r="AT62" s="261">
        <f>(IF(D61=AS60,((2*D60)+(2*E60)),IF(D61=AS61,((2*D60)+(2*E60)),0)))*C62</f>
        <v>0</v>
      </c>
      <c r="AU62" s="111">
        <f>(IF(D61=AU60,((2*B60)+(2*C60)),IF(D61=AU61,((2*B60)+(2*C60)),0)))*C62</f>
        <v>0</v>
      </c>
      <c r="AV62" s="260">
        <f>(IF(D61=AU60,((2*D60)+(2*E60)),IF(D61=AU61,((2*D60)+(2*E60)),0)))*C62</f>
        <v>0</v>
      </c>
      <c r="AW62" s="261">
        <f>(IF(B61=AW60,((2*B60)+(2*C60)),IF(B61=AW61,((2*B60)+(2*C60)),0)))*C62</f>
        <v>0</v>
      </c>
      <c r="AX62" s="260">
        <f>(IF(D61=AW60,((2*D60)+(2*E60)),IF(D61=AW61,((2*D60)+(2*E60)),0)))*C62</f>
        <v>0</v>
      </c>
      <c r="AY62" s="111">
        <f>(IF(B61=AY60,((2*B60)+(2*C60)),0))*C62</f>
        <v>0</v>
      </c>
      <c r="AZ62" s="260">
        <f>(IF(D61=AY60,((2*D60)+(2*E60)),0))*C62</f>
        <v>0</v>
      </c>
      <c r="BB62" s="268">
        <f>K60*C62</f>
        <v>0</v>
      </c>
      <c r="BD62" s="268">
        <f>(AF62+100)*C62</f>
        <v>0</v>
      </c>
      <c r="BF62" s="111" t="str">
        <f>IF(B61=informatieblad!$A$6,informatieblad!$B$6,IF(B61=informatieblad!$A$7,informatieblad!$B$7,IF(B61=informatieblad!$A$8,informatieblad!$B$8,IF(B61=informatieblad!$A$2,informatieblad!$B$2,IF(B61=informatieblad!$A$3,informatieblad!$B$3,IF(B61=informatieblad!$A$4,informatieblad!$B$4,IF(B61=informatieblad!$A$5,informatieblad!$B$5,"")))))))</f>
        <v/>
      </c>
      <c r="BG62" s="275" t="str">
        <f>IF(D61=informatieblad!$A$6,informatieblad!$B$6,IF(D61=informatieblad!$A$7,informatieblad!$B$7,IF(D61=informatieblad!$A$8,informatieblad!$B$8,IF(D61=informatieblad!$A$2,informatieblad!$B$2,IF(D61=informatieblad!$A$3,informatieblad!$B$3,IF(D61=informatieblad!$A$4,informatieblad!$B$4,IF(D61=informatieblad!$A$5,informatieblad!$B$5,"")))))))</f>
        <v/>
      </c>
      <c r="BH62" s="276">
        <f>IF(BF62=BH60,(4*C62),0)</f>
        <v>0</v>
      </c>
      <c r="BI62" s="276">
        <f>IF(BG62=BH60,(4*C62),0)</f>
        <v>0</v>
      </c>
      <c r="BJ62" s="276">
        <f>IF(BF62=BJ60,(4*C62),0)</f>
        <v>0</v>
      </c>
      <c r="BK62" s="274">
        <f>IF(BG62=BJ60,(4*C62),0)</f>
        <v>0</v>
      </c>
    </row>
    <row r="63" spans="1:63" ht="5.0999999999999996" customHeight="1" thickBot="1">
      <c r="A63" s="145"/>
      <c r="B63" s="122"/>
      <c r="C63" s="122"/>
      <c r="D63" s="122"/>
      <c r="E63" s="122"/>
      <c r="F63" s="122"/>
      <c r="G63" s="122"/>
      <c r="H63" s="122"/>
      <c r="I63" s="122"/>
      <c r="J63" s="122"/>
      <c r="K63" s="146"/>
    </row>
    <row r="64" spans="1:63" ht="15.75" customHeight="1" thickBot="1">
      <c r="A64" s="445"/>
      <c r="B64" s="147"/>
      <c r="C64" s="147"/>
      <c r="D64" s="147"/>
      <c r="E64" s="147">
        <f>C64</f>
        <v>0</v>
      </c>
      <c r="F64" s="147">
        <f>(B64&gt;0)*$K$7</f>
        <v>0</v>
      </c>
      <c r="G64" s="147">
        <f>(B64&gt;0)*$K$8</f>
        <v>0</v>
      </c>
      <c r="H64" s="147"/>
      <c r="I64" s="149">
        <f>(C64-E64)/2</f>
        <v>0</v>
      </c>
      <c r="J64" s="150">
        <f>(C64-E64)-I64</f>
        <v>0</v>
      </c>
      <c r="K64" s="151"/>
      <c r="L64" s="345" t="s">
        <v>20</v>
      </c>
      <c r="V64" s="97" t="s">
        <v>14</v>
      </c>
      <c r="W64" s="98" t="s">
        <v>27</v>
      </c>
      <c r="X64" s="98" t="s">
        <v>28</v>
      </c>
      <c r="Y64" s="98" t="s">
        <v>27</v>
      </c>
      <c r="Z64" s="98" t="s">
        <v>28</v>
      </c>
      <c r="AA64" s="98" t="s">
        <v>29</v>
      </c>
      <c r="AB64" s="66" t="s">
        <v>30</v>
      </c>
      <c r="AC64" s="153" t="s">
        <v>31</v>
      </c>
      <c r="AD64" s="153"/>
      <c r="AE64" s="153"/>
      <c r="AF64" s="154" t="s">
        <v>83</v>
      </c>
      <c r="AG64" s="100" t="s">
        <v>83</v>
      </c>
      <c r="AH64" s="100" t="s">
        <v>83</v>
      </c>
      <c r="AI64" s="100" t="s">
        <v>83</v>
      </c>
      <c r="AJ64" s="98" t="s">
        <v>84</v>
      </c>
      <c r="AK64" s="98" t="s">
        <v>89</v>
      </c>
      <c r="AL64" s="100" t="s">
        <v>90</v>
      </c>
      <c r="AM64" s="100" t="s">
        <v>34</v>
      </c>
      <c r="AN64" s="98" t="s">
        <v>32</v>
      </c>
      <c r="AO64" s="98" t="s">
        <v>32</v>
      </c>
      <c r="AP64" s="98" t="s">
        <v>35</v>
      </c>
      <c r="AQ64" s="101" t="s">
        <v>36</v>
      </c>
      <c r="AS64" s="97" t="str">
        <f>informatieblad!$A$6</f>
        <v>FL20</v>
      </c>
      <c r="AT64" s="99"/>
      <c r="AU64" s="97" t="str">
        <f>informatieblad!$A$7</f>
        <v>FL30</v>
      </c>
      <c r="AV64" s="66"/>
      <c r="AW64" s="99" t="str">
        <f>informatieblad!$A$8</f>
        <v>FL40</v>
      </c>
      <c r="AX64" s="66"/>
      <c r="AY64" s="97" t="str">
        <f>informatieblad!$A$5</f>
        <v>none</v>
      </c>
      <c r="AZ64" s="264"/>
      <c r="BB64" s="266" t="s">
        <v>17</v>
      </c>
      <c r="BD64" s="266" t="s">
        <v>37</v>
      </c>
      <c r="BF64" s="269" t="s">
        <v>38</v>
      </c>
      <c r="BG64" s="272"/>
      <c r="BH64" s="272">
        <f>informatieblad!$B$3</f>
        <v>0</v>
      </c>
      <c r="BI64" s="272">
        <f>informatieblad!$B$3</f>
        <v>0</v>
      </c>
      <c r="BJ64" s="272">
        <f>informatieblad!$B$4</f>
        <v>0</v>
      </c>
      <c r="BK64" s="264">
        <f>informatieblad!$B$4</f>
        <v>0</v>
      </c>
    </row>
    <row r="65" spans="1:63" ht="15.75" customHeight="1">
      <c r="A65" s="446"/>
      <c r="B65" s="471" t="str">
        <f>IF($B64&gt;0,IF(MAX(B64:C64)&lt;informatieblad!$Q$4,informatieblad!$P$3,IF(MAX(B64:C64)&gt;informatieblad!$R$4,informatieblad!$P$5,informatieblad!$P$4)),"")</f>
        <v/>
      </c>
      <c r="C65" s="472"/>
      <c r="D65" s="471" t="str">
        <f>IF($B64&gt;0,IF(MAX(D64:E64)&lt;informatieblad!$Q$4,informatieblad!$P$3,IF(MAX(D64:E64)&gt;informatieblad!$R$4,informatieblad!$P$5,informatieblad!$P$4)),"")</f>
        <v/>
      </c>
      <c r="E65" s="472"/>
      <c r="F65" s="134" t="str">
        <f>A64&amp;"-"&amp;informatieblad!$B$20&amp;"-"&amp;B64&amp;"-"&amp;C64&amp;"-"&amp;D64&amp;"-"&amp;E64&amp;"-"&amp;F64&amp;"-"&amp;G64&amp;"-"&amp;H64&amp;"-"&amp;I64&amp;"-"&amp;J64&amp;"-"&amp;K64&amp;"-"&amp;B65&amp;"-"&amp;H66</f>
        <v>-RctJ----0-0-0--0-0---Options None</v>
      </c>
      <c r="G65" s="134"/>
      <c r="H65" s="88"/>
      <c r="I65" s="469" t="s">
        <v>82</v>
      </c>
      <c r="J65" s="470"/>
      <c r="K65" s="135" t="str">
        <f>(IF($B64&gt;0,(IF(300&gt;(MAX(AI66,H64))*1.732,300,(MAX(AI66,H64))*1.732)+F64+G64),""))</f>
        <v/>
      </c>
      <c r="L65" s="83"/>
      <c r="V65" s="103">
        <f>A64</f>
        <v>0</v>
      </c>
      <c r="W65" s="104" t="s">
        <v>39</v>
      </c>
      <c r="X65" s="104" t="s">
        <v>39</v>
      </c>
      <c r="Y65" s="104" t="s">
        <v>40</v>
      </c>
      <c r="Z65" s="104" t="s">
        <v>40</v>
      </c>
      <c r="AA65" s="104" t="s">
        <v>40</v>
      </c>
      <c r="AB65" s="105"/>
      <c r="AC65" s="155" t="s">
        <v>27</v>
      </c>
      <c r="AD65" s="155" t="s">
        <v>40</v>
      </c>
      <c r="AE65" s="155" t="s">
        <v>41</v>
      </c>
      <c r="AF65" s="156" t="s">
        <v>91</v>
      </c>
      <c r="AG65" s="104" t="s">
        <v>92</v>
      </c>
      <c r="AH65" s="104"/>
      <c r="AI65" s="136" t="s">
        <v>173</v>
      </c>
      <c r="AK65" s="136" t="s">
        <v>91</v>
      </c>
      <c r="AL65" s="136" t="s">
        <v>92</v>
      </c>
      <c r="AM65" s="107"/>
      <c r="AN65" s="104" t="s">
        <v>40</v>
      </c>
      <c r="AO65" s="104" t="s">
        <v>41</v>
      </c>
      <c r="AP65" s="108"/>
      <c r="AQ65" s="109"/>
      <c r="AS65" s="262" t="str">
        <f>informatieblad!$A$2</f>
        <v>FL20 loose</v>
      </c>
      <c r="AT65" s="263"/>
      <c r="AU65" s="262" t="str">
        <f>informatieblad!$A$3</f>
        <v>FL30 loose</v>
      </c>
      <c r="AV65" s="105"/>
      <c r="AW65" s="263" t="str">
        <f>informatieblad!$A$4</f>
        <v>FL40 loose</v>
      </c>
      <c r="AX65" s="105"/>
      <c r="AY65" s="265"/>
      <c r="AZ65" s="105"/>
      <c r="BB65" s="267"/>
      <c r="BD65" s="267"/>
      <c r="BF65" s="265" t="s">
        <v>47</v>
      </c>
      <c r="BG65" s="106" t="s">
        <v>48</v>
      </c>
      <c r="BH65" s="83" t="s">
        <v>23</v>
      </c>
      <c r="BI65" s="83" t="s">
        <v>23</v>
      </c>
      <c r="BJ65" s="83" t="s">
        <v>23</v>
      </c>
      <c r="BK65" s="273" t="s">
        <v>23</v>
      </c>
    </row>
    <row r="66" spans="1:63" ht="15.75" customHeight="1" thickBot="1">
      <c r="A66" s="476"/>
      <c r="B66" s="137" t="s">
        <v>23</v>
      </c>
      <c r="C66" s="157"/>
      <c r="D66" s="139"/>
      <c r="E66" s="140">
        <f>C66*X66</f>
        <v>0</v>
      </c>
      <c r="F66" s="141" t="s">
        <v>24</v>
      </c>
      <c r="G66" s="293"/>
      <c r="H66" s="461" t="s">
        <v>25</v>
      </c>
      <c r="I66" s="473"/>
      <c r="J66" s="473"/>
      <c r="K66" s="474"/>
      <c r="L66" s="176"/>
      <c r="V66" s="111"/>
      <c r="W66" s="112">
        <f>(((2*(C64+D64+H64))*K64)/1000000)</f>
        <v>0</v>
      </c>
      <c r="X66" s="112">
        <f>((IF(W66&lt;=informatieblad!$I$20,informatieblad!$I$20,IF(W66&gt;=informatieblad!$I$20,W66))))</f>
        <v>0.5</v>
      </c>
      <c r="Y66" s="158">
        <f>ROUND((((2*(C64+D64+H64))*K64)/1000000),2)</f>
        <v>0</v>
      </c>
      <c r="Z66" s="112">
        <f>((IF(Y66&lt;=informatieblad!$H$13,informatieblad!$H$13,IF(Y66&gt;=informatieblad!$H$13,Y66))))</f>
        <v>0</v>
      </c>
      <c r="AA66" s="113">
        <f>((Z66*AN66)+(Z66*AD66))*C66</f>
        <v>0</v>
      </c>
      <c r="AB66" s="114">
        <f>((X66*AO66)+(X66*AE66))*C66</f>
        <v>0</v>
      </c>
      <c r="AC66" s="115" t="str">
        <f>H66</f>
        <v>Options None</v>
      </c>
      <c r="AD66" s="115">
        <f>VLOOKUP(H66,informatieblad!$A$37:$D$41,2,FALSE)</f>
        <v>0</v>
      </c>
      <c r="AE66" s="115">
        <f>VLOOKUP(H66,informatieblad!$A$37:$D$41,4,FALSE)</f>
        <v>0</v>
      </c>
      <c r="AF66" s="159">
        <f>(MAX(B64,D64))</f>
        <v>0</v>
      </c>
      <c r="AG66" s="160">
        <f>(MAX(C64,E64))</f>
        <v>0</v>
      </c>
      <c r="AH66" s="160">
        <f>(MAX(A64:E64))</f>
        <v>0</v>
      </c>
      <c r="AI66" s="295">
        <f>(D64+H64)-B64</f>
        <v>0</v>
      </c>
      <c r="AJ66" s="161">
        <f>(MAX(AL66,AK66))</f>
        <v>0</v>
      </c>
      <c r="AK66" s="162">
        <f>ROUND((SQRT((((MAX(F64,H64))^2)+(K64^2)))),0)</f>
        <v>0</v>
      </c>
      <c r="AL66" s="163">
        <f>ROUND((SQRT((((MAX(I64,J64))^2)+(K64^2)))),0)</f>
        <v>0</v>
      </c>
      <c r="AM66" s="119">
        <f>LOOKUP(AH66,informatieblad!$C$27:$C$32,informatieblad!$A$27:$A$32)</f>
        <v>0.5</v>
      </c>
      <c r="AN66" s="118">
        <f>VLOOKUP(AM66,informatieblad!$A$27:$M$32,6,FALSE)</f>
        <v>0</v>
      </c>
      <c r="AO66" s="118">
        <f>VLOOKUP(AM66,informatieblad!$A$27:$M$32,8,FALSE)</f>
        <v>45.1248</v>
      </c>
      <c r="AP66" s="120"/>
      <c r="AQ66" s="121">
        <f>ROUND((AP67*Z66),1)</f>
        <v>0</v>
      </c>
      <c r="AS66" s="111">
        <f>(IF(B65=AS64,((2*B64)+(2*C64)),IF(B65=AS65,((2*B64)+(2*C64)),0)))*C66</f>
        <v>0</v>
      </c>
      <c r="AT66" s="261">
        <f>(IF(D65=AS64,((2*D64)+(2*E64)),IF(D65=AS65,((2*D64)+(2*E64)),0)))*C66</f>
        <v>0</v>
      </c>
      <c r="AU66" s="111">
        <f>(IF(D65=AU64,((2*B64)+(2*C64)),IF(D65=AU65,((2*B64)+(2*C64)),0)))*C66</f>
        <v>0</v>
      </c>
      <c r="AV66" s="260">
        <f>(IF(D65=AU64,((2*D64)+(2*E64)),IF(D65=AU65,((2*D64)+(2*E64)),0)))*C66</f>
        <v>0</v>
      </c>
      <c r="AW66" s="261">
        <f>(IF(B65=AW64,((2*B64)+(2*C64)),IF(B65=AW65,((2*B64)+(2*C64)),0)))*C66</f>
        <v>0</v>
      </c>
      <c r="AX66" s="260">
        <f>(IF(D65=AW64,((2*D64)+(2*E64)),IF(D65=AW65,((2*D64)+(2*E64)),0)))*C66</f>
        <v>0</v>
      </c>
      <c r="AY66" s="111">
        <f>(IF(B65=AY64,((2*B64)+(2*C64)),0))*C66</f>
        <v>0</v>
      </c>
      <c r="AZ66" s="260">
        <f>(IF(D65=AY64,((2*D64)+(2*E64)),0))*C66</f>
        <v>0</v>
      </c>
      <c r="BB66" s="268">
        <f>K64*C66</f>
        <v>0</v>
      </c>
      <c r="BD66" s="268">
        <f>(AF66+100)*C66</f>
        <v>0</v>
      </c>
      <c r="BF66" s="111" t="str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/>
      </c>
      <c r="BG66" s="275" t="str">
        <f>IF(D65=informatieblad!$A$6,informatieblad!$B$6,IF(D65=informatieblad!$A$7,informatieblad!$B$7,IF(D65=informatieblad!$A$8,informatieblad!$B$8,IF(D65=informatieblad!$A$2,informatieblad!$B$2,IF(D65=informatieblad!$A$3,informatieblad!$B$3,IF(D65=informatieblad!$A$4,informatieblad!$B$4,IF(D65=informatieblad!$A$5,informatieblad!$B$5,"")))))))</f>
        <v/>
      </c>
      <c r="BH66" s="276">
        <f>IF(BF66=BH64,(4*C66),0)</f>
        <v>0</v>
      </c>
      <c r="BI66" s="276">
        <f>IF(BG66=BH64,(4*C66),0)</f>
        <v>0</v>
      </c>
      <c r="BJ66" s="276">
        <f>IF(BF66=BJ64,(4*C66),0)</f>
        <v>0</v>
      </c>
      <c r="BK66" s="274">
        <f>IF(BG66=BJ64,(4*C66),0)</f>
        <v>0</v>
      </c>
    </row>
    <row r="67" spans="1:63" ht="5.0999999999999996" customHeight="1" thickBot="1">
      <c r="A67" s="145"/>
      <c r="B67" s="122"/>
      <c r="C67" s="122"/>
      <c r="D67" s="122"/>
      <c r="E67" s="122"/>
      <c r="F67" s="122"/>
      <c r="G67" s="122"/>
      <c r="H67" s="122"/>
      <c r="I67" s="122"/>
      <c r="J67" s="122"/>
      <c r="K67" s="146"/>
    </row>
    <row r="68" spans="1:63" ht="15.75" customHeight="1" thickBot="1">
      <c r="A68" s="445"/>
      <c r="B68" s="147"/>
      <c r="C68" s="147"/>
      <c r="D68" s="147"/>
      <c r="E68" s="147">
        <f>C68</f>
        <v>0</v>
      </c>
      <c r="F68" s="147">
        <f>(B68&gt;0)*$K$7</f>
        <v>0</v>
      </c>
      <c r="G68" s="147">
        <f>(B68&gt;0)*$K$8</f>
        <v>0</v>
      </c>
      <c r="H68" s="147"/>
      <c r="I68" s="149">
        <f>(C68-E68)/2</f>
        <v>0</v>
      </c>
      <c r="J68" s="150">
        <f>(C68-E68)-I68</f>
        <v>0</v>
      </c>
      <c r="K68" s="151"/>
      <c r="L68" s="345" t="s">
        <v>20</v>
      </c>
      <c r="V68" s="97" t="s">
        <v>14</v>
      </c>
      <c r="W68" s="98" t="s">
        <v>27</v>
      </c>
      <c r="X68" s="98" t="s">
        <v>28</v>
      </c>
      <c r="Y68" s="98" t="s">
        <v>27</v>
      </c>
      <c r="Z68" s="98" t="s">
        <v>28</v>
      </c>
      <c r="AA68" s="98" t="s">
        <v>29</v>
      </c>
      <c r="AB68" s="66" t="s">
        <v>30</v>
      </c>
      <c r="AC68" s="153" t="s">
        <v>31</v>
      </c>
      <c r="AD68" s="153"/>
      <c r="AE68" s="153"/>
      <c r="AF68" s="154" t="s">
        <v>83</v>
      </c>
      <c r="AG68" s="100" t="s">
        <v>83</v>
      </c>
      <c r="AH68" s="100" t="s">
        <v>83</v>
      </c>
      <c r="AI68" s="100" t="s">
        <v>83</v>
      </c>
      <c r="AJ68" s="98" t="s">
        <v>84</v>
      </c>
      <c r="AK68" s="98" t="s">
        <v>89</v>
      </c>
      <c r="AL68" s="100" t="s">
        <v>90</v>
      </c>
      <c r="AM68" s="100" t="s">
        <v>34</v>
      </c>
      <c r="AN68" s="98" t="s">
        <v>32</v>
      </c>
      <c r="AO68" s="98" t="s">
        <v>32</v>
      </c>
      <c r="AP68" s="98" t="s">
        <v>35</v>
      </c>
      <c r="AQ68" s="101" t="s">
        <v>36</v>
      </c>
      <c r="AS68" s="97" t="str">
        <f>informatieblad!$A$6</f>
        <v>FL20</v>
      </c>
      <c r="AT68" s="99"/>
      <c r="AU68" s="97" t="str">
        <f>informatieblad!$A$7</f>
        <v>FL30</v>
      </c>
      <c r="AV68" s="66"/>
      <c r="AW68" s="99" t="str">
        <f>informatieblad!$A$8</f>
        <v>FL40</v>
      </c>
      <c r="AX68" s="66"/>
      <c r="AY68" s="97" t="str">
        <f>informatieblad!$A$5</f>
        <v>none</v>
      </c>
      <c r="AZ68" s="264"/>
      <c r="BB68" s="266" t="s">
        <v>17</v>
      </c>
      <c r="BD68" s="266" t="s">
        <v>37</v>
      </c>
      <c r="BF68" s="269" t="s">
        <v>38</v>
      </c>
      <c r="BG68" s="272"/>
      <c r="BH68" s="272">
        <f>informatieblad!$B$3</f>
        <v>0</v>
      </c>
      <c r="BI68" s="272">
        <f>informatieblad!$B$3</f>
        <v>0</v>
      </c>
      <c r="BJ68" s="272">
        <f>informatieblad!$B$4</f>
        <v>0</v>
      </c>
      <c r="BK68" s="264">
        <f>informatieblad!$B$4</f>
        <v>0</v>
      </c>
    </row>
    <row r="69" spans="1:63" ht="15.75" customHeight="1">
      <c r="A69" s="446"/>
      <c r="B69" s="471" t="str">
        <f>IF($B68&gt;0,IF(MAX(B68:C68)&lt;informatieblad!$Q$4,informatieblad!$P$3,IF(MAX(B68:C68)&gt;informatieblad!$R$4,informatieblad!$P$5,informatieblad!$P$4)),"")</f>
        <v/>
      </c>
      <c r="C69" s="472"/>
      <c r="D69" s="471" t="str">
        <f>IF($B68&gt;0,IF(MAX(D68:E68)&lt;informatieblad!$Q$4,informatieblad!$P$3,IF(MAX(D68:E68)&gt;informatieblad!$R$4,informatieblad!$P$5,informatieblad!$P$4)),"")</f>
        <v/>
      </c>
      <c r="E69" s="472"/>
      <c r="F69" s="134" t="str">
        <f>A68&amp;"-"&amp;informatieblad!$B$20&amp;"-"&amp;B68&amp;"-"&amp;C68&amp;"-"&amp;D68&amp;"-"&amp;E68&amp;"-"&amp;F68&amp;"-"&amp;G68&amp;"-"&amp;H68&amp;"-"&amp;I68&amp;"-"&amp;J68&amp;"-"&amp;K68&amp;"-"&amp;B69&amp;"-"&amp;H70</f>
        <v>-RctJ----0-0-0--0-0---Options None</v>
      </c>
      <c r="G69" s="134"/>
      <c r="H69" s="88"/>
      <c r="I69" s="469" t="s">
        <v>82</v>
      </c>
      <c r="J69" s="470"/>
      <c r="K69" s="135" t="str">
        <f>(IF($B68&gt;0,(IF(300&gt;(MAX(AI70,H68))*1.732,300,(MAX(AI70,H68))*1.732)+F68+G68),""))</f>
        <v/>
      </c>
      <c r="L69" s="83"/>
      <c r="V69" s="103">
        <f>A68</f>
        <v>0</v>
      </c>
      <c r="W69" s="104" t="s">
        <v>39</v>
      </c>
      <c r="X69" s="104" t="s">
        <v>39</v>
      </c>
      <c r="Y69" s="104" t="s">
        <v>40</v>
      </c>
      <c r="Z69" s="104" t="s">
        <v>40</v>
      </c>
      <c r="AA69" s="104" t="s">
        <v>40</v>
      </c>
      <c r="AB69" s="105"/>
      <c r="AC69" s="155" t="s">
        <v>27</v>
      </c>
      <c r="AD69" s="155" t="s">
        <v>40</v>
      </c>
      <c r="AE69" s="155" t="s">
        <v>41</v>
      </c>
      <c r="AF69" s="156" t="s">
        <v>91</v>
      </c>
      <c r="AG69" s="104" t="s">
        <v>92</v>
      </c>
      <c r="AH69" s="104"/>
      <c r="AI69" s="136" t="s">
        <v>173</v>
      </c>
      <c r="AK69" s="136" t="s">
        <v>91</v>
      </c>
      <c r="AL69" s="136" t="s">
        <v>92</v>
      </c>
      <c r="AM69" s="107"/>
      <c r="AN69" s="104" t="s">
        <v>40</v>
      </c>
      <c r="AO69" s="104" t="s">
        <v>41</v>
      </c>
      <c r="AP69" s="108"/>
      <c r="AQ69" s="109"/>
      <c r="AS69" s="262" t="str">
        <f>informatieblad!$A$2</f>
        <v>FL20 loose</v>
      </c>
      <c r="AT69" s="263"/>
      <c r="AU69" s="262" t="str">
        <f>informatieblad!$A$3</f>
        <v>FL30 loose</v>
      </c>
      <c r="AV69" s="105"/>
      <c r="AW69" s="263" t="str">
        <f>informatieblad!$A$4</f>
        <v>FL40 loose</v>
      </c>
      <c r="AX69" s="105"/>
      <c r="AY69" s="265"/>
      <c r="AZ69" s="105"/>
      <c r="BB69" s="267"/>
      <c r="BD69" s="267"/>
      <c r="BF69" s="265" t="s">
        <v>47</v>
      </c>
      <c r="BG69" s="106" t="s">
        <v>48</v>
      </c>
      <c r="BH69" s="83" t="s">
        <v>23</v>
      </c>
      <c r="BI69" s="83" t="s">
        <v>23</v>
      </c>
      <c r="BJ69" s="83" t="s">
        <v>23</v>
      </c>
      <c r="BK69" s="273" t="s">
        <v>23</v>
      </c>
    </row>
    <row r="70" spans="1:63" ht="15.75" customHeight="1" thickBot="1">
      <c r="A70" s="476"/>
      <c r="B70" s="137" t="s">
        <v>23</v>
      </c>
      <c r="C70" s="157"/>
      <c r="D70" s="139"/>
      <c r="E70" s="140">
        <f>C70*X70</f>
        <v>0</v>
      </c>
      <c r="F70" s="141" t="s">
        <v>24</v>
      </c>
      <c r="G70" s="293"/>
      <c r="H70" s="461" t="s">
        <v>25</v>
      </c>
      <c r="I70" s="473"/>
      <c r="J70" s="473"/>
      <c r="K70" s="474"/>
      <c r="L70" s="176"/>
      <c r="V70" s="111"/>
      <c r="W70" s="112">
        <f>(((2*(C68+D68+H68))*K68)/1000000)</f>
        <v>0</v>
      </c>
      <c r="X70" s="112">
        <f>((IF(W70&lt;=informatieblad!$I$20,informatieblad!$I$20,IF(W70&gt;=informatieblad!$I$20,W70))))</f>
        <v>0.5</v>
      </c>
      <c r="Y70" s="158">
        <f>ROUND((((2*(C68+D68+H68))*K68)/1000000),2)</f>
        <v>0</v>
      </c>
      <c r="Z70" s="112">
        <f>((IF(Y70&lt;=informatieblad!$H$13,informatieblad!$H$13,IF(Y70&gt;=informatieblad!$H$13,Y70))))</f>
        <v>0</v>
      </c>
      <c r="AA70" s="113">
        <f>((Z70*AN70)+(Z70*AD70))*C70</f>
        <v>0</v>
      </c>
      <c r="AB70" s="114">
        <f>((X70*AO70)+(X70*AE70))*C70</f>
        <v>0</v>
      </c>
      <c r="AC70" s="115" t="str">
        <f>H70</f>
        <v>Options None</v>
      </c>
      <c r="AD70" s="115">
        <f>VLOOKUP(H70,informatieblad!$A$37:$D$41,2,FALSE)</f>
        <v>0</v>
      </c>
      <c r="AE70" s="115">
        <f>VLOOKUP(H70,informatieblad!$A$37:$D$41,4,FALSE)</f>
        <v>0</v>
      </c>
      <c r="AF70" s="159">
        <f>(MAX(B68,D68))</f>
        <v>0</v>
      </c>
      <c r="AG70" s="160">
        <f>(MAX(C68,E68))</f>
        <v>0</v>
      </c>
      <c r="AH70" s="160">
        <f>(MAX(A68:E68))</f>
        <v>0</v>
      </c>
      <c r="AI70" s="295">
        <f>(D68+H68)-B68</f>
        <v>0</v>
      </c>
      <c r="AJ70" s="161">
        <f>(MAX(AL70,AK70))</f>
        <v>0</v>
      </c>
      <c r="AK70" s="162">
        <f>ROUND((SQRT((((MAX(F68,H68))^2)+(K68^2)))),0)</f>
        <v>0</v>
      </c>
      <c r="AL70" s="163">
        <f>ROUND((SQRT((((MAX(I68,J68))^2)+(K68^2)))),0)</f>
        <v>0</v>
      </c>
      <c r="AM70" s="119">
        <f>LOOKUP(AH70,informatieblad!$C$27:$C$32,informatieblad!$A$27:$A$32)</f>
        <v>0.5</v>
      </c>
      <c r="AN70" s="118">
        <f>VLOOKUP(AM70,informatieblad!$A$27:$M$32,6,FALSE)</f>
        <v>0</v>
      </c>
      <c r="AO70" s="118">
        <f>VLOOKUP(AM70,informatieblad!$A$27:$M$32,8,FALSE)</f>
        <v>45.1248</v>
      </c>
      <c r="AP70" s="120"/>
      <c r="AQ70" s="121">
        <f>ROUND((AP71*Z70),1)</f>
        <v>0</v>
      </c>
      <c r="AS70" s="111">
        <f>(IF(B69=AS68,((2*B68)+(2*C68)),IF(B69=AS69,((2*B68)+(2*C68)),0)))*C70</f>
        <v>0</v>
      </c>
      <c r="AT70" s="261">
        <f>(IF(D69=AS68,((2*D68)+(2*E68)),IF(D69=AS69,((2*D68)+(2*E68)),0)))*C70</f>
        <v>0</v>
      </c>
      <c r="AU70" s="111">
        <f>(IF(D69=AU68,((2*B68)+(2*C68)),IF(D69=AU69,((2*B68)+(2*C68)),0)))*C70</f>
        <v>0</v>
      </c>
      <c r="AV70" s="260">
        <f>(IF(D69=AU68,((2*D68)+(2*E68)),IF(D69=AU69,((2*D68)+(2*E68)),0)))*C70</f>
        <v>0</v>
      </c>
      <c r="AW70" s="261">
        <f>(IF(B69=AW68,((2*B68)+(2*C68)),IF(B69=AW69,((2*B68)+(2*C68)),0)))*C70</f>
        <v>0</v>
      </c>
      <c r="AX70" s="260">
        <f>(IF(D69=AW68,((2*D68)+(2*E68)),IF(D69=AW69,((2*D68)+(2*E68)),0)))*C70</f>
        <v>0</v>
      </c>
      <c r="AY70" s="111">
        <f>(IF(B69=AY68,((2*B68)+(2*C68)),0))*C70</f>
        <v>0</v>
      </c>
      <c r="AZ70" s="260">
        <f>(IF(D69=AY68,((2*D68)+(2*E68)),0))*C70</f>
        <v>0</v>
      </c>
      <c r="BB70" s="268">
        <f>K68*C70</f>
        <v>0</v>
      </c>
      <c r="BD70" s="268">
        <f>(AF70+100)*C70</f>
        <v>0</v>
      </c>
      <c r="BF70" s="111" t="str">
        <f>IF(B69=informatieblad!$A$6,informatieblad!$B$6,IF(B69=informatieblad!$A$7,informatieblad!$B$7,IF(B69=informatieblad!$A$8,informatieblad!$B$8,IF(B69=informatieblad!$A$2,informatieblad!$B$2,IF(B69=informatieblad!$A$3,informatieblad!$B$3,IF(B69=informatieblad!$A$4,informatieblad!$B$4,IF(B69=informatieblad!$A$5,informatieblad!$B$5,"")))))))</f>
        <v/>
      </c>
      <c r="BG70" s="275" t="str">
        <f>IF(D69=informatieblad!$A$6,informatieblad!$B$6,IF(D69=informatieblad!$A$7,informatieblad!$B$7,IF(D69=informatieblad!$A$8,informatieblad!$B$8,IF(D69=informatieblad!$A$2,informatieblad!$B$2,IF(D69=informatieblad!$A$3,informatieblad!$B$3,IF(D69=informatieblad!$A$4,informatieblad!$B$4,IF(D69=informatieblad!$A$5,informatieblad!$B$5,"")))))))</f>
        <v/>
      </c>
      <c r="BH70" s="276">
        <f>IF(BF70=BH68,(4*C70),0)</f>
        <v>0</v>
      </c>
      <c r="BI70" s="276">
        <f>IF(BG70=BH68,(4*C70),0)</f>
        <v>0</v>
      </c>
      <c r="BJ70" s="276">
        <f>IF(BF70=BJ68,(4*C70),0)</f>
        <v>0</v>
      </c>
      <c r="BK70" s="274">
        <f>IF(BG70=BJ68,(4*C70),0)</f>
        <v>0</v>
      </c>
    </row>
    <row r="71" spans="1:63" ht="5.0999999999999996" customHeight="1" thickBot="1">
      <c r="A71" s="145"/>
      <c r="B71" s="122"/>
      <c r="C71" s="122"/>
      <c r="D71" s="122"/>
      <c r="E71" s="122"/>
      <c r="F71" s="122"/>
      <c r="G71" s="122"/>
      <c r="H71" s="122"/>
      <c r="I71" s="122"/>
      <c r="J71" s="122"/>
      <c r="K71" s="146"/>
    </row>
    <row r="72" spans="1:63" ht="15.75" customHeight="1" thickBot="1">
      <c r="A72" s="445"/>
      <c r="B72" s="147"/>
      <c r="C72" s="147"/>
      <c r="D72" s="147"/>
      <c r="E72" s="147">
        <f>C72</f>
        <v>0</v>
      </c>
      <c r="F72" s="147">
        <f>(B72&gt;0)*$K$7</f>
        <v>0</v>
      </c>
      <c r="G72" s="147">
        <f>(B72&gt;0)*$K$8</f>
        <v>0</v>
      </c>
      <c r="H72" s="147"/>
      <c r="I72" s="149">
        <f>(C72-E72)/2</f>
        <v>0</v>
      </c>
      <c r="J72" s="150">
        <f>(C72-E72)-I72</f>
        <v>0</v>
      </c>
      <c r="K72" s="151"/>
      <c r="L72" s="345" t="s">
        <v>20</v>
      </c>
      <c r="V72" s="97" t="s">
        <v>14</v>
      </c>
      <c r="W72" s="98" t="s">
        <v>27</v>
      </c>
      <c r="X72" s="98" t="s">
        <v>28</v>
      </c>
      <c r="Y72" s="98" t="s">
        <v>27</v>
      </c>
      <c r="Z72" s="98" t="s">
        <v>28</v>
      </c>
      <c r="AA72" s="98" t="s">
        <v>29</v>
      </c>
      <c r="AB72" s="66" t="s">
        <v>30</v>
      </c>
      <c r="AC72" s="153" t="s">
        <v>31</v>
      </c>
      <c r="AD72" s="153"/>
      <c r="AE72" s="153"/>
      <c r="AF72" s="154" t="s">
        <v>83</v>
      </c>
      <c r="AG72" s="100" t="s">
        <v>83</v>
      </c>
      <c r="AH72" s="100" t="s">
        <v>83</v>
      </c>
      <c r="AI72" s="100" t="s">
        <v>83</v>
      </c>
      <c r="AJ72" s="98" t="s">
        <v>84</v>
      </c>
      <c r="AK72" s="98" t="s">
        <v>89</v>
      </c>
      <c r="AL72" s="100" t="s">
        <v>90</v>
      </c>
      <c r="AM72" s="100" t="s">
        <v>34</v>
      </c>
      <c r="AN72" s="98" t="s">
        <v>32</v>
      </c>
      <c r="AO72" s="98" t="s">
        <v>32</v>
      </c>
      <c r="AP72" s="98" t="s">
        <v>35</v>
      </c>
      <c r="AQ72" s="101" t="s">
        <v>36</v>
      </c>
      <c r="AS72" s="97" t="str">
        <f>informatieblad!$A$6</f>
        <v>FL20</v>
      </c>
      <c r="AT72" s="99"/>
      <c r="AU72" s="97" t="str">
        <f>informatieblad!$A$7</f>
        <v>FL30</v>
      </c>
      <c r="AV72" s="66"/>
      <c r="AW72" s="99" t="str">
        <f>informatieblad!$A$8</f>
        <v>FL40</v>
      </c>
      <c r="AX72" s="66"/>
      <c r="AY72" s="97" t="str">
        <f>informatieblad!$A$5</f>
        <v>none</v>
      </c>
      <c r="AZ72" s="264"/>
      <c r="BB72" s="266" t="s">
        <v>17</v>
      </c>
      <c r="BD72" s="266" t="s">
        <v>37</v>
      </c>
      <c r="BF72" s="269" t="s">
        <v>38</v>
      </c>
      <c r="BG72" s="272"/>
      <c r="BH72" s="272">
        <f>informatieblad!$B$3</f>
        <v>0</v>
      </c>
      <c r="BI72" s="272">
        <f>informatieblad!$B$3</f>
        <v>0</v>
      </c>
      <c r="BJ72" s="272">
        <f>informatieblad!$B$4</f>
        <v>0</v>
      </c>
      <c r="BK72" s="264">
        <f>informatieblad!$B$4</f>
        <v>0</v>
      </c>
    </row>
    <row r="73" spans="1:63" ht="15.75" customHeight="1">
      <c r="A73" s="467"/>
      <c r="B73" s="471" t="str">
        <f>IF($B72&gt;0,IF(MAX(B72:C72)&lt;informatieblad!$Q$4,informatieblad!$P$3,IF(MAX(B72:C72)&gt;informatieblad!$R$4,informatieblad!$P$5,informatieblad!$P$4)),"")</f>
        <v/>
      </c>
      <c r="C73" s="472"/>
      <c r="D73" s="471" t="str">
        <f>IF($B72&gt;0,IF(MAX(D72:E72)&lt;informatieblad!$Q$4,informatieblad!$P$3,IF(MAX(D72:E72)&gt;informatieblad!$R$4,informatieblad!$P$5,informatieblad!$P$4)),"")</f>
        <v/>
      </c>
      <c r="E73" s="472"/>
      <c r="F73" s="134" t="str">
        <f>A72&amp;"-"&amp;informatieblad!$B$20&amp;"-"&amp;B72&amp;"-"&amp;C72&amp;"-"&amp;D72&amp;"-"&amp;E72&amp;"-"&amp;F72&amp;"-"&amp;G72&amp;"-"&amp;H72&amp;"-"&amp;I72&amp;"-"&amp;J72&amp;"-"&amp;K72&amp;"-"&amp;B73&amp;"-"&amp;H74</f>
        <v>-RctJ----0-0-0--0-0---Options None</v>
      </c>
      <c r="G73" s="134"/>
      <c r="H73" s="88"/>
      <c r="I73" s="469" t="s">
        <v>82</v>
      </c>
      <c r="J73" s="470"/>
      <c r="K73" s="135" t="str">
        <f>(IF($B72&gt;0,(IF(300&gt;(MAX(AI74,H72))*1.732,300,(MAX(AI74,H72))*1.732)+F72+G72),""))</f>
        <v/>
      </c>
      <c r="L73" s="83"/>
      <c r="V73" s="103">
        <f>A72</f>
        <v>0</v>
      </c>
      <c r="W73" s="104" t="s">
        <v>39</v>
      </c>
      <c r="X73" s="104" t="s">
        <v>39</v>
      </c>
      <c r="Y73" s="104" t="s">
        <v>40</v>
      </c>
      <c r="Z73" s="104" t="s">
        <v>40</v>
      </c>
      <c r="AA73" s="104" t="s">
        <v>40</v>
      </c>
      <c r="AB73" s="105"/>
      <c r="AC73" s="155" t="s">
        <v>27</v>
      </c>
      <c r="AD73" s="155" t="s">
        <v>40</v>
      </c>
      <c r="AE73" s="155" t="s">
        <v>41</v>
      </c>
      <c r="AF73" s="156" t="s">
        <v>91</v>
      </c>
      <c r="AG73" s="104" t="s">
        <v>92</v>
      </c>
      <c r="AH73" s="104"/>
      <c r="AI73" s="136" t="s">
        <v>173</v>
      </c>
      <c r="AK73" s="136" t="s">
        <v>91</v>
      </c>
      <c r="AL73" s="136" t="s">
        <v>92</v>
      </c>
      <c r="AM73" s="107"/>
      <c r="AN73" s="104" t="s">
        <v>40</v>
      </c>
      <c r="AO73" s="104" t="s">
        <v>41</v>
      </c>
      <c r="AP73" s="108"/>
      <c r="AQ73" s="109"/>
      <c r="AS73" s="262" t="str">
        <f>informatieblad!$A$2</f>
        <v>FL20 loose</v>
      </c>
      <c r="AT73" s="263"/>
      <c r="AU73" s="262" t="str">
        <f>informatieblad!$A$3</f>
        <v>FL30 loose</v>
      </c>
      <c r="AV73" s="105"/>
      <c r="AW73" s="263" t="str">
        <f>informatieblad!$A$4</f>
        <v>FL40 loose</v>
      </c>
      <c r="AX73" s="105"/>
      <c r="AY73" s="265"/>
      <c r="AZ73" s="105"/>
      <c r="BB73" s="267"/>
      <c r="BD73" s="267"/>
      <c r="BF73" s="265" t="s">
        <v>47</v>
      </c>
      <c r="BG73" s="106" t="s">
        <v>48</v>
      </c>
      <c r="BH73" s="83" t="s">
        <v>23</v>
      </c>
      <c r="BI73" s="83" t="s">
        <v>23</v>
      </c>
      <c r="BJ73" s="83" t="s">
        <v>23</v>
      </c>
      <c r="BK73" s="273" t="s">
        <v>23</v>
      </c>
    </row>
    <row r="74" spans="1:63" ht="15.75" customHeight="1" thickBot="1">
      <c r="A74" s="468"/>
      <c r="B74" s="137" t="s">
        <v>23</v>
      </c>
      <c r="C74" s="157"/>
      <c r="D74" s="139"/>
      <c r="E74" s="140">
        <f>C74*X74</f>
        <v>0</v>
      </c>
      <c r="F74" s="141" t="s">
        <v>24</v>
      </c>
      <c r="G74" s="293"/>
      <c r="H74" s="461" t="s">
        <v>25</v>
      </c>
      <c r="I74" s="473"/>
      <c r="J74" s="473"/>
      <c r="K74" s="474"/>
      <c r="L74" s="176"/>
      <c r="V74" s="111"/>
      <c r="W74" s="112">
        <f>(((2*(C72+D72+H72))*K72)/1000000)</f>
        <v>0</v>
      </c>
      <c r="X74" s="112">
        <f>((IF(W74&lt;=informatieblad!$I$20,informatieblad!$I$20,IF(W74&gt;=informatieblad!$I$20,W74))))</f>
        <v>0.5</v>
      </c>
      <c r="Y74" s="158">
        <f>ROUND((((2*(C72+D72+H72))*K72)/1000000),2)</f>
        <v>0</v>
      </c>
      <c r="Z74" s="112">
        <f>((IF(Y74&lt;=informatieblad!$H$13,informatieblad!$H$13,IF(Y74&gt;=informatieblad!$H$13,Y74))))</f>
        <v>0</v>
      </c>
      <c r="AA74" s="113">
        <f>((Z74*AN74)+(Z74*AD74))*C74</f>
        <v>0</v>
      </c>
      <c r="AB74" s="114">
        <f>((X74*AO74)+(X74*AE74))*C74</f>
        <v>0</v>
      </c>
      <c r="AC74" s="115" t="str">
        <f>H74</f>
        <v>Options None</v>
      </c>
      <c r="AD74" s="115">
        <f>VLOOKUP(H74,informatieblad!$A$37:$D$41,2,FALSE)</f>
        <v>0</v>
      </c>
      <c r="AE74" s="115">
        <f>VLOOKUP(H74,informatieblad!$A$37:$D$41,4,FALSE)</f>
        <v>0</v>
      </c>
      <c r="AF74" s="159">
        <f>(MAX(B72,D72))</f>
        <v>0</v>
      </c>
      <c r="AG74" s="160">
        <f>(MAX(C72,E72))</f>
        <v>0</v>
      </c>
      <c r="AH74" s="160">
        <f>(MAX(A72:E72))</f>
        <v>0</v>
      </c>
      <c r="AI74" s="295">
        <f>(D72+H72)-B72</f>
        <v>0</v>
      </c>
      <c r="AJ74" s="161">
        <f>(MAX(AL74,AK74))</f>
        <v>0</v>
      </c>
      <c r="AK74" s="162">
        <f>ROUND((SQRT((((MAX(F72,H72))^2)+(K72^2)))),0)</f>
        <v>0</v>
      </c>
      <c r="AL74" s="163">
        <f>ROUND((SQRT((((MAX(I72,J72))^2)+(K72^2)))),0)</f>
        <v>0</v>
      </c>
      <c r="AM74" s="119">
        <f>LOOKUP(AH74,informatieblad!$C$27:$C$32,informatieblad!$A$27:$A$32)</f>
        <v>0.5</v>
      </c>
      <c r="AN74" s="118">
        <f>VLOOKUP(AM74,informatieblad!$A$27:$M$32,6,FALSE)</f>
        <v>0</v>
      </c>
      <c r="AO74" s="118">
        <f>VLOOKUP(AM74,informatieblad!$A$27:$M$32,8,FALSE)</f>
        <v>45.1248</v>
      </c>
      <c r="AP74" s="120"/>
      <c r="AQ74" s="121">
        <f>ROUND((AP75*Z74),1)</f>
        <v>0</v>
      </c>
      <c r="AS74" s="111">
        <f>(IF(B73=AS72,((2*B72)+(2*C72)),IF(B73=AS73,((2*B72)+(2*C72)),0)))*C74</f>
        <v>0</v>
      </c>
      <c r="AT74" s="261">
        <f>(IF(D73=AS72,((2*D72)+(2*E72)),IF(D73=AS73,((2*D72)+(2*E72)),0)))*C74</f>
        <v>0</v>
      </c>
      <c r="AU74" s="111">
        <f>(IF(D73=AU72,((2*B72)+(2*C72)),IF(D73=AU73,((2*B72)+(2*C72)),0)))*C74</f>
        <v>0</v>
      </c>
      <c r="AV74" s="260">
        <f>(IF(D73=AU72,((2*D72)+(2*E72)),IF(D73=AU73,((2*D72)+(2*E72)),0)))*C74</f>
        <v>0</v>
      </c>
      <c r="AW74" s="261">
        <f>(IF(B73=AW72,((2*B72)+(2*C72)),IF(B73=AW73,((2*B72)+(2*C72)),0)))*C74</f>
        <v>0</v>
      </c>
      <c r="AX74" s="260">
        <f>(IF(D73=AW72,((2*D72)+(2*E72)),IF(D73=AW73,((2*D72)+(2*E72)),0)))*C74</f>
        <v>0</v>
      </c>
      <c r="AY74" s="111">
        <f>(IF(B73=AY72,((2*B72)+(2*C72)),0))*C74</f>
        <v>0</v>
      </c>
      <c r="AZ74" s="260">
        <f>(IF(D73=AY72,((2*D72)+(2*E72)),0))*C74</f>
        <v>0</v>
      </c>
      <c r="BB74" s="268">
        <f>K72*C74</f>
        <v>0</v>
      </c>
      <c r="BD74" s="268">
        <f>(AF74+100)*C74</f>
        <v>0</v>
      </c>
      <c r="BF74" s="111" t="str">
        <f>IF(B73=informatieblad!$A$6,informatieblad!$B$6,IF(B73=informatieblad!$A$7,informatieblad!$B$7,IF(B73=informatieblad!$A$8,informatieblad!$B$8,IF(B73=informatieblad!$A$2,informatieblad!$B$2,IF(B73=informatieblad!$A$3,informatieblad!$B$3,IF(B73=informatieblad!$A$4,informatieblad!$B$4,IF(B73=informatieblad!$A$5,informatieblad!$B$5,"")))))))</f>
        <v/>
      </c>
      <c r="BG74" s="275" t="str">
        <f>IF(D73=informatieblad!$A$6,informatieblad!$B$6,IF(D73=informatieblad!$A$7,informatieblad!$B$7,IF(D73=informatieblad!$A$8,informatieblad!$B$8,IF(D73=informatieblad!$A$2,informatieblad!$B$2,IF(D73=informatieblad!$A$3,informatieblad!$B$3,IF(D73=informatieblad!$A$4,informatieblad!$B$4,IF(D73=informatieblad!$A$5,informatieblad!$B$5,"")))))))</f>
        <v/>
      </c>
      <c r="BH74" s="276">
        <f>IF(BF74=BH72,(4*C74),0)</f>
        <v>0</v>
      </c>
      <c r="BI74" s="276">
        <f>IF(BG74=BH72,(4*C74),0)</f>
        <v>0</v>
      </c>
      <c r="BJ74" s="276">
        <f>IF(BF74=BJ72,(4*C74),0)</f>
        <v>0</v>
      </c>
      <c r="BK74" s="274">
        <f>IF(BG74=BJ72,(4*C74),0)</f>
        <v>0</v>
      </c>
    </row>
    <row r="75" spans="1:63" ht="5.0999999999999996" customHeight="1" thickBot="1">
      <c r="A75" s="145"/>
      <c r="B75" s="122"/>
      <c r="C75" s="122"/>
      <c r="D75" s="122"/>
      <c r="E75" s="122"/>
      <c r="F75" s="122"/>
      <c r="G75" s="122"/>
      <c r="H75" s="122"/>
      <c r="I75" s="122"/>
      <c r="J75" s="122"/>
      <c r="K75" s="146"/>
    </row>
    <row r="76" spans="1:63" ht="15.75" customHeight="1" thickBot="1">
      <c r="A76" s="445"/>
      <c r="B76" s="147"/>
      <c r="C76" s="147"/>
      <c r="D76" s="147"/>
      <c r="E76" s="147">
        <f>C76</f>
        <v>0</v>
      </c>
      <c r="F76" s="147">
        <f>(B76&gt;0)*$K$7</f>
        <v>0</v>
      </c>
      <c r="G76" s="147">
        <f>(B76&gt;0)*$K$8</f>
        <v>0</v>
      </c>
      <c r="H76" s="147"/>
      <c r="I76" s="149">
        <f>(C76-E76)/2</f>
        <v>0</v>
      </c>
      <c r="J76" s="150">
        <f>(C76-E76)-I76</f>
        <v>0</v>
      </c>
      <c r="K76" s="151"/>
      <c r="L76" s="345" t="s">
        <v>20</v>
      </c>
      <c r="V76" s="97" t="s">
        <v>14</v>
      </c>
      <c r="W76" s="98" t="s">
        <v>27</v>
      </c>
      <c r="X76" s="98" t="s">
        <v>28</v>
      </c>
      <c r="Y76" s="98" t="s">
        <v>27</v>
      </c>
      <c r="Z76" s="98" t="s">
        <v>28</v>
      </c>
      <c r="AA76" s="98" t="s">
        <v>29</v>
      </c>
      <c r="AB76" s="66" t="s">
        <v>30</v>
      </c>
      <c r="AC76" s="153" t="s">
        <v>31</v>
      </c>
      <c r="AD76" s="153"/>
      <c r="AE76" s="153"/>
      <c r="AF76" s="154" t="s">
        <v>83</v>
      </c>
      <c r="AG76" s="100" t="s">
        <v>83</v>
      </c>
      <c r="AH76" s="100" t="s">
        <v>83</v>
      </c>
      <c r="AI76" s="100" t="s">
        <v>83</v>
      </c>
      <c r="AJ76" s="98" t="s">
        <v>84</v>
      </c>
      <c r="AK76" s="98" t="s">
        <v>89</v>
      </c>
      <c r="AL76" s="100" t="s">
        <v>90</v>
      </c>
      <c r="AM76" s="100" t="s">
        <v>34</v>
      </c>
      <c r="AN76" s="98" t="s">
        <v>32</v>
      </c>
      <c r="AO76" s="98" t="s">
        <v>32</v>
      </c>
      <c r="AP76" s="98" t="s">
        <v>35</v>
      </c>
      <c r="AQ76" s="101" t="s">
        <v>36</v>
      </c>
      <c r="AS76" s="97" t="str">
        <f>informatieblad!$A$6</f>
        <v>FL20</v>
      </c>
      <c r="AT76" s="99"/>
      <c r="AU76" s="97" t="str">
        <f>informatieblad!$A$7</f>
        <v>FL30</v>
      </c>
      <c r="AV76" s="66"/>
      <c r="AW76" s="99" t="str">
        <f>informatieblad!$A$8</f>
        <v>FL40</v>
      </c>
      <c r="AX76" s="66"/>
      <c r="AY76" s="97" t="str">
        <f>informatieblad!$A$5</f>
        <v>none</v>
      </c>
      <c r="AZ76" s="264"/>
      <c r="BB76" s="266" t="s">
        <v>17</v>
      </c>
      <c r="BD76" s="266" t="s">
        <v>37</v>
      </c>
      <c r="BF76" s="269" t="s">
        <v>38</v>
      </c>
      <c r="BG76" s="272"/>
      <c r="BH76" s="272">
        <f>informatieblad!$B$3</f>
        <v>0</v>
      </c>
      <c r="BI76" s="272">
        <f>informatieblad!$B$3</f>
        <v>0</v>
      </c>
      <c r="BJ76" s="272">
        <f>informatieblad!$B$4</f>
        <v>0</v>
      </c>
      <c r="BK76" s="264">
        <f>informatieblad!$B$4</f>
        <v>0</v>
      </c>
    </row>
    <row r="77" spans="1:63" ht="15.75" customHeight="1">
      <c r="A77" s="446"/>
      <c r="B77" s="471" t="str">
        <f>IF($B76&gt;0,IF(MAX(B76:C76)&lt;informatieblad!$Q$4,informatieblad!$P$3,IF(MAX(B76:C76)&gt;informatieblad!$R$4,informatieblad!$P$5,informatieblad!$P$4)),"")</f>
        <v/>
      </c>
      <c r="C77" s="472"/>
      <c r="D77" s="471" t="str">
        <f>IF($B76&gt;0,IF(MAX(D76:E76)&lt;informatieblad!$Q$4,informatieblad!$P$3,IF(MAX(D76:E76)&gt;informatieblad!$R$4,informatieblad!$P$5,informatieblad!$P$4)),"")</f>
        <v/>
      </c>
      <c r="E77" s="472"/>
      <c r="F77" s="134" t="str">
        <f>A76&amp;"-"&amp;informatieblad!$B$20&amp;"-"&amp;B76&amp;"-"&amp;C76&amp;"-"&amp;D76&amp;"-"&amp;E76&amp;"-"&amp;F76&amp;"-"&amp;G76&amp;"-"&amp;H76&amp;"-"&amp;I76&amp;"-"&amp;J76&amp;"-"&amp;K76&amp;"-"&amp;B77&amp;"-"&amp;H78</f>
        <v>-RctJ----0-0-0--0-0---Options None</v>
      </c>
      <c r="G77" s="134"/>
      <c r="H77" s="88"/>
      <c r="I77" s="469" t="s">
        <v>82</v>
      </c>
      <c r="J77" s="470"/>
      <c r="K77" s="135" t="str">
        <f>(IF($B76&gt;0,(IF(300&gt;(MAX(AI78,H76))*1.732,300,(MAX(AI78,H76))*1.732)+F76+G76),""))</f>
        <v/>
      </c>
      <c r="L77" s="83"/>
      <c r="V77" s="103">
        <f>A76</f>
        <v>0</v>
      </c>
      <c r="W77" s="104" t="s">
        <v>39</v>
      </c>
      <c r="X77" s="104" t="s">
        <v>39</v>
      </c>
      <c r="Y77" s="104" t="s">
        <v>40</v>
      </c>
      <c r="Z77" s="104" t="s">
        <v>40</v>
      </c>
      <c r="AA77" s="104" t="s">
        <v>40</v>
      </c>
      <c r="AB77" s="105"/>
      <c r="AC77" s="155" t="s">
        <v>27</v>
      </c>
      <c r="AD77" s="155" t="s">
        <v>40</v>
      </c>
      <c r="AE77" s="155" t="s">
        <v>41</v>
      </c>
      <c r="AF77" s="156" t="s">
        <v>91</v>
      </c>
      <c r="AG77" s="104" t="s">
        <v>92</v>
      </c>
      <c r="AH77" s="104"/>
      <c r="AI77" s="136" t="s">
        <v>173</v>
      </c>
      <c r="AK77" s="136" t="s">
        <v>91</v>
      </c>
      <c r="AL77" s="136" t="s">
        <v>92</v>
      </c>
      <c r="AM77" s="107"/>
      <c r="AN77" s="104" t="s">
        <v>40</v>
      </c>
      <c r="AO77" s="104" t="s">
        <v>41</v>
      </c>
      <c r="AP77" s="108"/>
      <c r="AQ77" s="109"/>
      <c r="AS77" s="262" t="str">
        <f>informatieblad!$A$2</f>
        <v>FL20 loose</v>
      </c>
      <c r="AT77" s="263"/>
      <c r="AU77" s="262" t="str">
        <f>informatieblad!$A$3</f>
        <v>FL30 loose</v>
      </c>
      <c r="AV77" s="105"/>
      <c r="AW77" s="263" t="str">
        <f>informatieblad!$A$4</f>
        <v>FL40 loose</v>
      </c>
      <c r="AX77" s="105"/>
      <c r="AY77" s="265"/>
      <c r="AZ77" s="105"/>
      <c r="BB77" s="267"/>
      <c r="BD77" s="267"/>
      <c r="BF77" s="265" t="s">
        <v>47</v>
      </c>
      <c r="BG77" s="106" t="s">
        <v>48</v>
      </c>
      <c r="BH77" s="83" t="s">
        <v>23</v>
      </c>
      <c r="BI77" s="83" t="s">
        <v>23</v>
      </c>
      <c r="BJ77" s="83" t="s">
        <v>23</v>
      </c>
      <c r="BK77" s="273" t="s">
        <v>23</v>
      </c>
    </row>
    <row r="78" spans="1:63" ht="15.75" customHeight="1" thickBot="1">
      <c r="A78" s="476"/>
      <c r="B78" s="137" t="s">
        <v>23</v>
      </c>
      <c r="C78" s="157"/>
      <c r="D78" s="139"/>
      <c r="E78" s="140">
        <f>C78*X78</f>
        <v>0</v>
      </c>
      <c r="F78" s="141" t="s">
        <v>24</v>
      </c>
      <c r="G78" s="293"/>
      <c r="H78" s="461" t="s">
        <v>25</v>
      </c>
      <c r="I78" s="473"/>
      <c r="J78" s="473"/>
      <c r="K78" s="474"/>
      <c r="L78" s="176"/>
      <c r="V78" s="111"/>
      <c r="W78" s="112">
        <f>(((2*(C76+D76+H76))*K76)/1000000)</f>
        <v>0</v>
      </c>
      <c r="X78" s="112">
        <f>((IF(W78&lt;=informatieblad!$I$20,informatieblad!$I$20,IF(W78&gt;=informatieblad!$I$20,W78))))</f>
        <v>0.5</v>
      </c>
      <c r="Y78" s="158">
        <f>ROUND((((2*(C76+D76+H76))*K76)/1000000),2)</f>
        <v>0</v>
      </c>
      <c r="Z78" s="112">
        <f>((IF(Y78&lt;=informatieblad!$H$13,informatieblad!$H$13,IF(Y78&gt;=informatieblad!$H$13,Y78))))</f>
        <v>0</v>
      </c>
      <c r="AA78" s="113">
        <f>((Z78*AN78)+(Z78*AD78))*C78</f>
        <v>0</v>
      </c>
      <c r="AB78" s="114">
        <f>((X78*AO78)+(X78*AE78))*C78</f>
        <v>0</v>
      </c>
      <c r="AC78" s="115" t="str">
        <f>H78</f>
        <v>Options None</v>
      </c>
      <c r="AD78" s="115">
        <f>VLOOKUP(H78,informatieblad!$A$37:$D$41,2,FALSE)</f>
        <v>0</v>
      </c>
      <c r="AE78" s="115">
        <f>VLOOKUP(H78,informatieblad!$A$37:$D$41,4,FALSE)</f>
        <v>0</v>
      </c>
      <c r="AF78" s="159">
        <f>(MAX(B76,D76))</f>
        <v>0</v>
      </c>
      <c r="AG78" s="160">
        <f>(MAX(C76,E76))</f>
        <v>0</v>
      </c>
      <c r="AH78" s="160">
        <f>(MAX(A76:E76))</f>
        <v>0</v>
      </c>
      <c r="AI78" s="295">
        <f>(D76+H76)-B76</f>
        <v>0</v>
      </c>
      <c r="AJ78" s="161">
        <f>(MAX(AL78,AK78))</f>
        <v>0</v>
      </c>
      <c r="AK78" s="162">
        <f>ROUND((SQRT((((MAX(F76,H76))^2)+(K76^2)))),0)</f>
        <v>0</v>
      </c>
      <c r="AL78" s="163">
        <f>ROUND((SQRT((((MAX(I76,J76))^2)+(K76^2)))),0)</f>
        <v>0</v>
      </c>
      <c r="AM78" s="119">
        <f>LOOKUP(AH78,informatieblad!$C$27:$C$32,informatieblad!$A$27:$A$32)</f>
        <v>0.5</v>
      </c>
      <c r="AN78" s="118">
        <f>VLOOKUP(AM78,informatieblad!$A$27:$M$32,6,FALSE)</f>
        <v>0</v>
      </c>
      <c r="AO78" s="118">
        <f>VLOOKUP(AM78,informatieblad!$A$27:$M$32,8,FALSE)</f>
        <v>45.1248</v>
      </c>
      <c r="AP78" s="120"/>
      <c r="AQ78" s="121">
        <f>ROUND((AP79*Z78),1)</f>
        <v>0</v>
      </c>
      <c r="AS78" s="111">
        <f>(IF(B77=AS76,((2*B76)+(2*C76)),IF(B77=AS77,((2*B76)+(2*C76)),0)))*C78</f>
        <v>0</v>
      </c>
      <c r="AT78" s="261">
        <f>(IF(D77=AS76,((2*D76)+(2*E76)),IF(D77=AS77,((2*D76)+(2*E76)),0)))*C78</f>
        <v>0</v>
      </c>
      <c r="AU78" s="111">
        <f>(IF(D77=AU76,((2*B76)+(2*C76)),IF(D77=AU77,((2*B76)+(2*C76)),0)))*C78</f>
        <v>0</v>
      </c>
      <c r="AV78" s="260">
        <f>(IF(D77=AU76,((2*D76)+(2*E76)),IF(D77=AU77,((2*D76)+(2*E76)),0)))*C78</f>
        <v>0</v>
      </c>
      <c r="AW78" s="261">
        <f>(IF(B77=AW76,((2*B76)+(2*C76)),IF(B77=AW77,((2*B76)+(2*C76)),0)))*C78</f>
        <v>0</v>
      </c>
      <c r="AX78" s="260">
        <f>(IF(D77=AW76,((2*D76)+(2*E76)),IF(D77=AW77,((2*D76)+(2*E76)),0)))*C78</f>
        <v>0</v>
      </c>
      <c r="AY78" s="111">
        <f>(IF(B77=AY76,((2*B76)+(2*C76)),0))*C78</f>
        <v>0</v>
      </c>
      <c r="AZ78" s="260">
        <f>(IF(D77=AY76,((2*D76)+(2*E76)),0))*C78</f>
        <v>0</v>
      </c>
      <c r="BB78" s="268">
        <f>K76*C78</f>
        <v>0</v>
      </c>
      <c r="BD78" s="268">
        <f>(AF78+100)*C78</f>
        <v>0</v>
      </c>
      <c r="BF78" s="111" t="str">
        <f>IF(B77=informatieblad!$A$6,informatieblad!$B$6,IF(B77=informatieblad!$A$7,informatieblad!$B$7,IF(B77=informatieblad!$A$8,informatieblad!$B$8,IF(B77=informatieblad!$A$2,informatieblad!$B$2,IF(B77=informatieblad!$A$3,informatieblad!$B$3,IF(B77=informatieblad!$A$4,informatieblad!$B$4,IF(B77=informatieblad!$A$5,informatieblad!$B$5,"")))))))</f>
        <v/>
      </c>
      <c r="BG78" s="275" t="str">
        <f>IF(D77=informatieblad!$A$6,informatieblad!$B$6,IF(D77=informatieblad!$A$7,informatieblad!$B$7,IF(D77=informatieblad!$A$8,informatieblad!$B$8,IF(D77=informatieblad!$A$2,informatieblad!$B$2,IF(D77=informatieblad!$A$3,informatieblad!$B$3,IF(D77=informatieblad!$A$4,informatieblad!$B$4,IF(D77=informatieblad!$A$5,informatieblad!$B$5,"")))))))</f>
        <v/>
      </c>
      <c r="BH78" s="276">
        <f>IF(BF78=BH76,(4*C78),0)</f>
        <v>0</v>
      </c>
      <c r="BI78" s="276">
        <f>IF(BG78=BH76,(4*C78),0)</f>
        <v>0</v>
      </c>
      <c r="BJ78" s="276">
        <f>IF(BF78=BJ76,(4*C78),0)</f>
        <v>0</v>
      </c>
      <c r="BK78" s="274">
        <f>IF(BG78=BJ76,(4*C78),0)</f>
        <v>0</v>
      </c>
    </row>
    <row r="79" spans="1:63" ht="5.0999999999999996" customHeight="1" thickBot="1">
      <c r="A79" s="145"/>
      <c r="B79" s="122"/>
      <c r="C79" s="122"/>
      <c r="D79" s="122"/>
      <c r="E79" s="122"/>
      <c r="F79" s="122"/>
      <c r="G79" s="122"/>
      <c r="H79" s="122"/>
      <c r="I79" s="122"/>
      <c r="J79" s="122"/>
      <c r="K79" s="146"/>
    </row>
    <row r="80" spans="1:63" ht="15.75" customHeight="1" thickBot="1">
      <c r="A80" s="445"/>
      <c r="B80" s="147"/>
      <c r="C80" s="147"/>
      <c r="D80" s="147"/>
      <c r="E80" s="147">
        <f>C80</f>
        <v>0</v>
      </c>
      <c r="F80" s="147">
        <f>(B80&gt;0)*$K$7</f>
        <v>0</v>
      </c>
      <c r="G80" s="147">
        <f>(B80&gt;0)*$K$8</f>
        <v>0</v>
      </c>
      <c r="H80" s="147"/>
      <c r="I80" s="149">
        <f>(C80-E80)/2</f>
        <v>0</v>
      </c>
      <c r="J80" s="150">
        <f>(C80-E80)-I80</f>
        <v>0</v>
      </c>
      <c r="K80" s="151"/>
      <c r="L80" s="345" t="s">
        <v>20</v>
      </c>
      <c r="V80" s="97" t="s">
        <v>14</v>
      </c>
      <c r="W80" s="98" t="s">
        <v>27</v>
      </c>
      <c r="X80" s="98" t="s">
        <v>28</v>
      </c>
      <c r="Y80" s="98" t="s">
        <v>27</v>
      </c>
      <c r="Z80" s="98" t="s">
        <v>28</v>
      </c>
      <c r="AA80" s="98" t="s">
        <v>29</v>
      </c>
      <c r="AB80" s="66" t="s">
        <v>30</v>
      </c>
      <c r="AC80" s="153" t="s">
        <v>31</v>
      </c>
      <c r="AD80" s="153"/>
      <c r="AE80" s="153"/>
      <c r="AF80" s="154" t="s">
        <v>83</v>
      </c>
      <c r="AG80" s="100" t="s">
        <v>83</v>
      </c>
      <c r="AH80" s="100" t="s">
        <v>83</v>
      </c>
      <c r="AI80" s="100" t="s">
        <v>83</v>
      </c>
      <c r="AJ80" s="98" t="s">
        <v>84</v>
      </c>
      <c r="AK80" s="98" t="s">
        <v>89</v>
      </c>
      <c r="AL80" s="100" t="s">
        <v>90</v>
      </c>
      <c r="AM80" s="100" t="s">
        <v>34</v>
      </c>
      <c r="AN80" s="98" t="s">
        <v>32</v>
      </c>
      <c r="AO80" s="98" t="s">
        <v>32</v>
      </c>
      <c r="AP80" s="98" t="s">
        <v>35</v>
      </c>
      <c r="AQ80" s="101" t="s">
        <v>36</v>
      </c>
      <c r="AS80" s="97" t="str">
        <f>informatieblad!$A$6</f>
        <v>FL20</v>
      </c>
      <c r="AT80" s="99"/>
      <c r="AU80" s="97" t="str">
        <f>informatieblad!$A$7</f>
        <v>FL30</v>
      </c>
      <c r="AV80" s="66"/>
      <c r="AW80" s="99" t="str">
        <f>informatieblad!$A$8</f>
        <v>FL40</v>
      </c>
      <c r="AX80" s="66"/>
      <c r="AY80" s="97" t="str">
        <f>informatieblad!$A$5</f>
        <v>none</v>
      </c>
      <c r="AZ80" s="264"/>
      <c r="BB80" s="266" t="s">
        <v>17</v>
      </c>
      <c r="BD80" s="266" t="s">
        <v>37</v>
      </c>
      <c r="BF80" s="269" t="s">
        <v>38</v>
      </c>
      <c r="BG80" s="272"/>
      <c r="BH80" s="272">
        <f>informatieblad!$B$3</f>
        <v>0</v>
      </c>
      <c r="BI80" s="272">
        <f>informatieblad!$B$3</f>
        <v>0</v>
      </c>
      <c r="BJ80" s="272">
        <f>informatieblad!$B$4</f>
        <v>0</v>
      </c>
      <c r="BK80" s="264">
        <f>informatieblad!$B$4</f>
        <v>0</v>
      </c>
    </row>
    <row r="81" spans="1:63" ht="15.75" customHeight="1">
      <c r="A81" s="446"/>
      <c r="B81" s="471" t="str">
        <f>IF($B80&gt;0,IF(MAX(B80:C80)&lt;informatieblad!$Q$4,informatieblad!$P$3,IF(MAX(B80:C80)&gt;informatieblad!$R$4,informatieblad!$P$5,informatieblad!$P$4)),"")</f>
        <v/>
      </c>
      <c r="C81" s="472"/>
      <c r="D81" s="471" t="str">
        <f>IF($B80&gt;0,IF(MAX(D80:E80)&lt;informatieblad!$Q$4,informatieblad!$P$3,IF(MAX(D80:E80)&gt;informatieblad!$R$4,informatieblad!$P$5,informatieblad!$P$4)),"")</f>
        <v/>
      </c>
      <c r="E81" s="472"/>
      <c r="F81" s="134" t="str">
        <f>A80&amp;"-"&amp;informatieblad!$B$20&amp;"-"&amp;B80&amp;"-"&amp;C80&amp;"-"&amp;D80&amp;"-"&amp;E80&amp;"-"&amp;F80&amp;"-"&amp;G80&amp;"-"&amp;H80&amp;"-"&amp;I80&amp;"-"&amp;J80&amp;"-"&amp;K80&amp;"-"&amp;B81&amp;"-"&amp;H82</f>
        <v>-RctJ----0-0-0--0-0---Options None</v>
      </c>
      <c r="G81" s="134"/>
      <c r="H81" s="88"/>
      <c r="I81" s="469" t="s">
        <v>82</v>
      </c>
      <c r="J81" s="470"/>
      <c r="K81" s="135" t="str">
        <f>(IF($B80&gt;0,(IF(300&gt;(MAX(AI82,H80))*1.732,300,(MAX(AI82,H80))*1.732)+F80+G80),""))</f>
        <v/>
      </c>
      <c r="L81" s="83"/>
      <c r="V81" s="103">
        <f>A80</f>
        <v>0</v>
      </c>
      <c r="W81" s="104" t="s">
        <v>39</v>
      </c>
      <c r="X81" s="104" t="s">
        <v>39</v>
      </c>
      <c r="Y81" s="104" t="s">
        <v>40</v>
      </c>
      <c r="Z81" s="104" t="s">
        <v>40</v>
      </c>
      <c r="AA81" s="104" t="s">
        <v>40</v>
      </c>
      <c r="AB81" s="105"/>
      <c r="AC81" s="155" t="s">
        <v>27</v>
      </c>
      <c r="AD81" s="155" t="s">
        <v>40</v>
      </c>
      <c r="AE81" s="155" t="s">
        <v>41</v>
      </c>
      <c r="AF81" s="156" t="s">
        <v>91</v>
      </c>
      <c r="AG81" s="104" t="s">
        <v>92</v>
      </c>
      <c r="AH81" s="104"/>
      <c r="AI81" s="136" t="s">
        <v>173</v>
      </c>
      <c r="AK81" s="136" t="s">
        <v>91</v>
      </c>
      <c r="AL81" s="136" t="s">
        <v>92</v>
      </c>
      <c r="AM81" s="107"/>
      <c r="AN81" s="104" t="s">
        <v>40</v>
      </c>
      <c r="AO81" s="104" t="s">
        <v>41</v>
      </c>
      <c r="AP81" s="108"/>
      <c r="AQ81" s="109"/>
      <c r="AS81" s="262" t="str">
        <f>informatieblad!$A$2</f>
        <v>FL20 loose</v>
      </c>
      <c r="AT81" s="263"/>
      <c r="AU81" s="262" t="str">
        <f>informatieblad!$A$3</f>
        <v>FL30 loose</v>
      </c>
      <c r="AV81" s="105"/>
      <c r="AW81" s="263" t="str">
        <f>informatieblad!$A$4</f>
        <v>FL40 loose</v>
      </c>
      <c r="AX81" s="105"/>
      <c r="AY81" s="265"/>
      <c r="AZ81" s="105"/>
      <c r="BB81" s="267"/>
      <c r="BD81" s="267"/>
      <c r="BF81" s="265" t="s">
        <v>47</v>
      </c>
      <c r="BG81" s="106" t="s">
        <v>48</v>
      </c>
      <c r="BH81" s="83" t="s">
        <v>23</v>
      </c>
      <c r="BI81" s="83" t="s">
        <v>23</v>
      </c>
      <c r="BJ81" s="83" t="s">
        <v>23</v>
      </c>
      <c r="BK81" s="273" t="s">
        <v>23</v>
      </c>
    </row>
    <row r="82" spans="1:63" ht="15.75" customHeight="1" thickBot="1">
      <c r="A82" s="476"/>
      <c r="B82" s="137" t="s">
        <v>23</v>
      </c>
      <c r="C82" s="157"/>
      <c r="D82" s="139"/>
      <c r="E82" s="140">
        <f>C82*X82</f>
        <v>0</v>
      </c>
      <c r="F82" s="141" t="s">
        <v>24</v>
      </c>
      <c r="G82" s="293"/>
      <c r="H82" s="461" t="s">
        <v>25</v>
      </c>
      <c r="I82" s="473"/>
      <c r="J82" s="473"/>
      <c r="K82" s="474"/>
      <c r="L82" s="176"/>
      <c r="V82" s="111"/>
      <c r="W82" s="112">
        <f>(((2*(C80+D80+H80))*K80)/1000000)</f>
        <v>0</v>
      </c>
      <c r="X82" s="112">
        <f>((IF(W82&lt;=informatieblad!$I$20,informatieblad!$I$20,IF(W82&gt;=informatieblad!$I$20,W82))))</f>
        <v>0.5</v>
      </c>
      <c r="Y82" s="158">
        <f>ROUND((((2*(C80+D80+H80))*K80)/1000000),2)</f>
        <v>0</v>
      </c>
      <c r="Z82" s="112">
        <f>((IF(Y82&lt;=informatieblad!$H$13,informatieblad!$H$13,IF(Y82&gt;=informatieblad!$H$13,Y82))))</f>
        <v>0</v>
      </c>
      <c r="AA82" s="113">
        <f>((Z82*AN82)+(Z82*AD82))*C82</f>
        <v>0</v>
      </c>
      <c r="AB82" s="114">
        <f>((X82*AO82)+(X82*AE82))*C82</f>
        <v>0</v>
      </c>
      <c r="AC82" s="115" t="str">
        <f>H82</f>
        <v>Options None</v>
      </c>
      <c r="AD82" s="115">
        <f>VLOOKUP(H82,informatieblad!$A$37:$D$41,2,FALSE)</f>
        <v>0</v>
      </c>
      <c r="AE82" s="115">
        <f>VLOOKUP(H82,informatieblad!$A$37:$D$41,4,FALSE)</f>
        <v>0</v>
      </c>
      <c r="AF82" s="159">
        <f>(MAX(B80,D80))</f>
        <v>0</v>
      </c>
      <c r="AG82" s="160">
        <f>(MAX(C80,E80))</f>
        <v>0</v>
      </c>
      <c r="AH82" s="160">
        <f>(MAX(A80:E80))</f>
        <v>0</v>
      </c>
      <c r="AI82" s="295">
        <f>(D80+H80)-B80</f>
        <v>0</v>
      </c>
      <c r="AJ82" s="161">
        <f>(MAX(AL82,AK82))</f>
        <v>0</v>
      </c>
      <c r="AK82" s="162">
        <f>ROUND((SQRT((((MAX(F80,H80))^2)+(K80^2)))),0)</f>
        <v>0</v>
      </c>
      <c r="AL82" s="163">
        <f>ROUND((SQRT((((MAX(I80,J80))^2)+(K80^2)))),0)</f>
        <v>0</v>
      </c>
      <c r="AM82" s="119">
        <f>LOOKUP(AH82,informatieblad!$C$27:$C$32,informatieblad!$A$27:$A$32)</f>
        <v>0.5</v>
      </c>
      <c r="AN82" s="118">
        <f>VLOOKUP(AM82,informatieblad!$A$27:$M$32,6,FALSE)</f>
        <v>0</v>
      </c>
      <c r="AO82" s="118">
        <f>VLOOKUP(AM82,informatieblad!$A$27:$M$32,8,FALSE)</f>
        <v>45.1248</v>
      </c>
      <c r="AP82" s="120"/>
      <c r="AQ82" s="121">
        <f>ROUND((AP83*Z82),1)</f>
        <v>0</v>
      </c>
      <c r="AS82" s="111">
        <f>(IF(B81=AS80,((2*B80)+(2*C80)),IF(B81=AS81,((2*B80)+(2*C80)),0)))*C82</f>
        <v>0</v>
      </c>
      <c r="AT82" s="261">
        <f>(IF(D81=AS80,((2*D80)+(2*E80)),IF(D81=AS81,((2*D80)+(2*E80)),0)))*C82</f>
        <v>0</v>
      </c>
      <c r="AU82" s="111">
        <f>(IF(D81=AU80,((2*B80)+(2*C80)),IF(D81=AU81,((2*B80)+(2*C80)),0)))*C82</f>
        <v>0</v>
      </c>
      <c r="AV82" s="260">
        <f>(IF(D81=AU80,((2*D80)+(2*E80)),IF(D81=AU81,((2*D80)+(2*E80)),0)))*C82</f>
        <v>0</v>
      </c>
      <c r="AW82" s="261">
        <f>(IF(B81=AW80,((2*B80)+(2*C80)),IF(B81=AW81,((2*B80)+(2*C80)),0)))*C82</f>
        <v>0</v>
      </c>
      <c r="AX82" s="260">
        <f>(IF(D81=AW80,((2*D80)+(2*E80)),IF(D81=AW81,((2*D80)+(2*E80)),0)))*C82</f>
        <v>0</v>
      </c>
      <c r="AY82" s="111">
        <f>(IF(B81=AY80,((2*B80)+(2*C80)),0))*C82</f>
        <v>0</v>
      </c>
      <c r="AZ82" s="260">
        <f>(IF(D81=AY80,((2*D80)+(2*E80)),0))*C82</f>
        <v>0</v>
      </c>
      <c r="BB82" s="268">
        <f>K80*C82</f>
        <v>0</v>
      </c>
      <c r="BD82" s="268">
        <f>(AF82+100)*C82</f>
        <v>0</v>
      </c>
      <c r="BF82" s="111" t="str">
        <f>IF(B81=informatieblad!$A$6,informatieblad!$B$6,IF(B81=informatieblad!$A$7,informatieblad!$B$7,IF(B81=informatieblad!$A$8,informatieblad!$B$8,IF(B81=informatieblad!$A$2,informatieblad!$B$2,IF(B81=informatieblad!$A$3,informatieblad!$B$3,IF(B81=informatieblad!$A$4,informatieblad!$B$4,IF(B81=informatieblad!$A$5,informatieblad!$B$5,"")))))))</f>
        <v/>
      </c>
      <c r="BG82" s="275" t="str">
        <f>IF(D81=informatieblad!$A$6,informatieblad!$B$6,IF(D81=informatieblad!$A$7,informatieblad!$B$7,IF(D81=informatieblad!$A$8,informatieblad!$B$8,IF(D81=informatieblad!$A$2,informatieblad!$B$2,IF(D81=informatieblad!$A$3,informatieblad!$B$3,IF(D81=informatieblad!$A$4,informatieblad!$B$4,IF(D81=informatieblad!$A$5,informatieblad!$B$5,"")))))))</f>
        <v/>
      </c>
      <c r="BH82" s="276">
        <f>IF(BF82=BH80,(4*C82),0)</f>
        <v>0</v>
      </c>
      <c r="BI82" s="276">
        <f>IF(BG82=BH80,(4*C82),0)</f>
        <v>0</v>
      </c>
      <c r="BJ82" s="276">
        <f>IF(BF82=BJ80,(4*C82),0)</f>
        <v>0</v>
      </c>
      <c r="BK82" s="274">
        <f>IF(BG82=BJ80,(4*C82),0)</f>
        <v>0</v>
      </c>
    </row>
    <row r="83" spans="1:63" ht="5.0999999999999996" customHeight="1" thickBot="1">
      <c r="A83" s="145"/>
      <c r="B83" s="122"/>
      <c r="C83" s="122"/>
      <c r="D83" s="122"/>
      <c r="E83" s="122"/>
      <c r="F83" s="122"/>
      <c r="G83" s="122"/>
      <c r="H83" s="122"/>
      <c r="I83" s="122"/>
      <c r="J83" s="122"/>
      <c r="K83" s="146"/>
    </row>
    <row r="84" spans="1:63" ht="15.75" customHeight="1" thickBot="1">
      <c r="A84" s="445"/>
      <c r="B84" s="147"/>
      <c r="C84" s="147"/>
      <c r="D84" s="147"/>
      <c r="E84" s="147">
        <f>C84</f>
        <v>0</v>
      </c>
      <c r="F84" s="147">
        <f>(B84&gt;0)*$K$7</f>
        <v>0</v>
      </c>
      <c r="G84" s="147">
        <f>(B84&gt;0)*$K$8</f>
        <v>0</v>
      </c>
      <c r="H84" s="147"/>
      <c r="I84" s="149">
        <f>(C84-E84)/2</f>
        <v>0</v>
      </c>
      <c r="J84" s="150">
        <f>(C84-E84)-I84</f>
        <v>0</v>
      </c>
      <c r="K84" s="151"/>
      <c r="L84" s="345" t="s">
        <v>20</v>
      </c>
      <c r="V84" s="97" t="s">
        <v>14</v>
      </c>
      <c r="W84" s="98" t="s">
        <v>27</v>
      </c>
      <c r="X84" s="98" t="s">
        <v>28</v>
      </c>
      <c r="Y84" s="98" t="s">
        <v>27</v>
      </c>
      <c r="Z84" s="98" t="s">
        <v>28</v>
      </c>
      <c r="AA84" s="98" t="s">
        <v>29</v>
      </c>
      <c r="AB84" s="66" t="s">
        <v>30</v>
      </c>
      <c r="AC84" s="153" t="s">
        <v>31</v>
      </c>
      <c r="AD84" s="153"/>
      <c r="AE84" s="153"/>
      <c r="AF84" s="154" t="s">
        <v>83</v>
      </c>
      <c r="AG84" s="100" t="s">
        <v>83</v>
      </c>
      <c r="AH84" s="100" t="s">
        <v>83</v>
      </c>
      <c r="AI84" s="100" t="s">
        <v>83</v>
      </c>
      <c r="AJ84" s="98" t="s">
        <v>84</v>
      </c>
      <c r="AK84" s="98" t="s">
        <v>89</v>
      </c>
      <c r="AL84" s="100" t="s">
        <v>90</v>
      </c>
      <c r="AM84" s="100" t="s">
        <v>34</v>
      </c>
      <c r="AN84" s="98" t="s">
        <v>32</v>
      </c>
      <c r="AO84" s="98" t="s">
        <v>32</v>
      </c>
      <c r="AP84" s="98" t="s">
        <v>35</v>
      </c>
      <c r="AQ84" s="101" t="s">
        <v>36</v>
      </c>
      <c r="AS84" s="97" t="str">
        <f>informatieblad!$A$6</f>
        <v>FL20</v>
      </c>
      <c r="AT84" s="99"/>
      <c r="AU84" s="97" t="str">
        <f>informatieblad!$A$7</f>
        <v>FL30</v>
      </c>
      <c r="AV84" s="66"/>
      <c r="AW84" s="99" t="str">
        <f>informatieblad!$A$8</f>
        <v>FL40</v>
      </c>
      <c r="AX84" s="66"/>
      <c r="AY84" s="97" t="str">
        <f>informatieblad!$A$5</f>
        <v>none</v>
      </c>
      <c r="AZ84" s="264"/>
      <c r="BB84" s="266" t="s">
        <v>17</v>
      </c>
      <c r="BD84" s="266" t="s">
        <v>37</v>
      </c>
      <c r="BF84" s="269" t="s">
        <v>38</v>
      </c>
      <c r="BG84" s="272"/>
      <c r="BH84" s="272">
        <f>informatieblad!$B$3</f>
        <v>0</v>
      </c>
      <c r="BI84" s="272">
        <f>informatieblad!$B$3</f>
        <v>0</v>
      </c>
      <c r="BJ84" s="272">
        <f>informatieblad!$B$4</f>
        <v>0</v>
      </c>
      <c r="BK84" s="264">
        <f>informatieblad!$B$4</f>
        <v>0</v>
      </c>
    </row>
    <row r="85" spans="1:63" ht="15.75" customHeight="1">
      <c r="A85" s="446"/>
      <c r="B85" s="471" t="str">
        <f>IF($B84&gt;0,IF(MAX(B84:C84)&lt;informatieblad!$Q$4,informatieblad!$P$3,IF(MAX(B84:C84)&gt;informatieblad!$R$4,informatieblad!$P$5,informatieblad!$P$4)),"")</f>
        <v/>
      </c>
      <c r="C85" s="472"/>
      <c r="D85" s="471" t="str">
        <f>IF($B84&gt;0,IF(MAX(D84:E84)&lt;informatieblad!$Q$4,informatieblad!$P$3,IF(MAX(D84:E84)&gt;informatieblad!$R$4,informatieblad!$P$5,informatieblad!$P$4)),"")</f>
        <v/>
      </c>
      <c r="E85" s="472"/>
      <c r="F85" s="134" t="str">
        <f>A84&amp;"-"&amp;informatieblad!$B$20&amp;"-"&amp;B84&amp;"-"&amp;C84&amp;"-"&amp;D84&amp;"-"&amp;E84&amp;"-"&amp;F84&amp;"-"&amp;G84&amp;"-"&amp;H84&amp;"-"&amp;I84&amp;"-"&amp;J84&amp;"-"&amp;K84&amp;"-"&amp;B85&amp;"-"&amp;H86</f>
        <v>-RctJ----0-0-0--0-0---Options None</v>
      </c>
      <c r="G85" s="134"/>
      <c r="H85" s="88"/>
      <c r="I85" s="469" t="s">
        <v>82</v>
      </c>
      <c r="J85" s="470"/>
      <c r="K85" s="135" t="str">
        <f>(IF($B84&gt;0,(IF(300&gt;(MAX(AI86,H84))*1.732,300,(MAX(AI86,H84))*1.732)+F84+G84),""))</f>
        <v/>
      </c>
      <c r="L85" s="83"/>
      <c r="V85" s="103">
        <f>A84</f>
        <v>0</v>
      </c>
      <c r="W85" s="104" t="s">
        <v>39</v>
      </c>
      <c r="X85" s="104" t="s">
        <v>39</v>
      </c>
      <c r="Y85" s="104" t="s">
        <v>40</v>
      </c>
      <c r="Z85" s="104" t="s">
        <v>40</v>
      </c>
      <c r="AA85" s="104" t="s">
        <v>40</v>
      </c>
      <c r="AB85" s="105"/>
      <c r="AC85" s="155" t="s">
        <v>27</v>
      </c>
      <c r="AD85" s="155" t="s">
        <v>40</v>
      </c>
      <c r="AE85" s="155" t="s">
        <v>41</v>
      </c>
      <c r="AF85" s="156" t="s">
        <v>91</v>
      </c>
      <c r="AG85" s="104" t="s">
        <v>92</v>
      </c>
      <c r="AH85" s="104"/>
      <c r="AI85" s="136" t="s">
        <v>173</v>
      </c>
      <c r="AK85" s="136" t="s">
        <v>91</v>
      </c>
      <c r="AL85" s="136" t="s">
        <v>92</v>
      </c>
      <c r="AM85" s="107"/>
      <c r="AN85" s="104" t="s">
        <v>40</v>
      </c>
      <c r="AO85" s="104" t="s">
        <v>41</v>
      </c>
      <c r="AP85" s="108"/>
      <c r="AQ85" s="109"/>
      <c r="AS85" s="262" t="str">
        <f>informatieblad!$A$2</f>
        <v>FL20 loose</v>
      </c>
      <c r="AT85" s="263"/>
      <c r="AU85" s="262" t="str">
        <f>informatieblad!$A$3</f>
        <v>FL30 loose</v>
      </c>
      <c r="AV85" s="105"/>
      <c r="AW85" s="263" t="str">
        <f>informatieblad!$A$4</f>
        <v>FL40 loose</v>
      </c>
      <c r="AX85" s="105"/>
      <c r="AY85" s="265"/>
      <c r="AZ85" s="105"/>
      <c r="BB85" s="267"/>
      <c r="BD85" s="267"/>
      <c r="BF85" s="265" t="s">
        <v>47</v>
      </c>
      <c r="BG85" s="106" t="s">
        <v>48</v>
      </c>
      <c r="BH85" s="83" t="s">
        <v>23</v>
      </c>
      <c r="BI85" s="83" t="s">
        <v>23</v>
      </c>
      <c r="BJ85" s="83" t="s">
        <v>23</v>
      </c>
      <c r="BK85" s="273" t="s">
        <v>23</v>
      </c>
    </row>
    <row r="86" spans="1:63" ht="15.75" customHeight="1" thickBot="1">
      <c r="A86" s="476"/>
      <c r="B86" s="137" t="s">
        <v>23</v>
      </c>
      <c r="C86" s="157"/>
      <c r="D86" s="139"/>
      <c r="E86" s="140">
        <f>C86*X86</f>
        <v>0</v>
      </c>
      <c r="F86" s="141" t="s">
        <v>24</v>
      </c>
      <c r="G86" s="293"/>
      <c r="H86" s="461" t="s">
        <v>25</v>
      </c>
      <c r="I86" s="473"/>
      <c r="J86" s="473"/>
      <c r="K86" s="474"/>
      <c r="L86" s="176"/>
      <c r="V86" s="111"/>
      <c r="W86" s="112">
        <f>(((2*(C84+D84+H84))*K84)/1000000)</f>
        <v>0</v>
      </c>
      <c r="X86" s="112">
        <f>((IF(W86&lt;=informatieblad!$I$20,informatieblad!$I$20,IF(W86&gt;=informatieblad!$I$20,W86))))</f>
        <v>0.5</v>
      </c>
      <c r="Y86" s="158">
        <f>ROUND((((2*(C84+D84+H84))*K84)/1000000),2)</f>
        <v>0</v>
      </c>
      <c r="Z86" s="112">
        <f>((IF(Y86&lt;=informatieblad!$H$13,informatieblad!$H$13,IF(Y86&gt;=informatieblad!$H$13,Y86))))</f>
        <v>0</v>
      </c>
      <c r="AA86" s="113">
        <f>((Z86*AN86)+(Z86*AD86))*C86</f>
        <v>0</v>
      </c>
      <c r="AB86" s="114">
        <f>((X86*AO86)+(X86*AE86))*C86</f>
        <v>0</v>
      </c>
      <c r="AC86" s="115" t="str">
        <f>H86</f>
        <v>Options None</v>
      </c>
      <c r="AD86" s="115">
        <f>VLOOKUP(H86,informatieblad!$A$37:$D$41,2,FALSE)</f>
        <v>0</v>
      </c>
      <c r="AE86" s="115">
        <f>VLOOKUP(H86,informatieblad!$A$37:$D$41,4,FALSE)</f>
        <v>0</v>
      </c>
      <c r="AF86" s="159">
        <f>(MAX(B84,D84))</f>
        <v>0</v>
      </c>
      <c r="AG86" s="160">
        <f>(MAX(C84,E84))</f>
        <v>0</v>
      </c>
      <c r="AH86" s="160">
        <f>(MAX(A84:E84))</f>
        <v>0</v>
      </c>
      <c r="AI86" s="295">
        <f>(D84+H84)-B84</f>
        <v>0</v>
      </c>
      <c r="AJ86" s="161">
        <f>(MAX(AL86,AK86))</f>
        <v>0</v>
      </c>
      <c r="AK86" s="162">
        <f>ROUND((SQRT((((MAX(F84,H84))^2)+(K84^2)))),0)</f>
        <v>0</v>
      </c>
      <c r="AL86" s="163">
        <f>ROUND((SQRT((((MAX(I84,J84))^2)+(K84^2)))),0)</f>
        <v>0</v>
      </c>
      <c r="AM86" s="119">
        <f>LOOKUP(AH86,informatieblad!$C$27:$C$32,informatieblad!$A$27:$A$32)</f>
        <v>0.5</v>
      </c>
      <c r="AN86" s="118">
        <f>VLOOKUP(AM86,informatieblad!$A$27:$M$32,6,FALSE)</f>
        <v>0</v>
      </c>
      <c r="AO86" s="118">
        <f>VLOOKUP(AM86,informatieblad!$A$27:$M$32,8,FALSE)</f>
        <v>45.1248</v>
      </c>
      <c r="AP86" s="120"/>
      <c r="AQ86" s="121">
        <f>ROUND((AP87*Z86),1)</f>
        <v>0</v>
      </c>
      <c r="AS86" s="111">
        <f>(IF(B85=AS84,((2*B84)+(2*C84)),IF(B85=AS85,((2*B84)+(2*C84)),0)))*C86</f>
        <v>0</v>
      </c>
      <c r="AT86" s="261">
        <f>(IF(D85=AS84,((2*D84)+(2*E84)),IF(D85=AS85,((2*D84)+(2*E84)),0)))*C86</f>
        <v>0</v>
      </c>
      <c r="AU86" s="111">
        <f>(IF(D85=AU84,((2*B84)+(2*C84)),IF(D85=AU85,((2*B84)+(2*C84)),0)))*C86</f>
        <v>0</v>
      </c>
      <c r="AV86" s="260">
        <f>(IF(D85=AU84,((2*D84)+(2*E84)),IF(D85=AU85,((2*D84)+(2*E84)),0)))*C86</f>
        <v>0</v>
      </c>
      <c r="AW86" s="261">
        <f>(IF(B85=AW84,((2*B84)+(2*C84)),IF(B85=AW85,((2*B84)+(2*C84)),0)))*C86</f>
        <v>0</v>
      </c>
      <c r="AX86" s="260">
        <f>(IF(D85=AW84,((2*D84)+(2*E84)),IF(D85=AW85,((2*D84)+(2*E84)),0)))*C86</f>
        <v>0</v>
      </c>
      <c r="AY86" s="111">
        <f>(IF(B85=AY84,((2*B84)+(2*C84)),0))*C86</f>
        <v>0</v>
      </c>
      <c r="AZ86" s="260">
        <f>(IF(D85=AY84,((2*D84)+(2*E84)),0))*C86</f>
        <v>0</v>
      </c>
      <c r="BB86" s="268">
        <f>K84*C86</f>
        <v>0</v>
      </c>
      <c r="BD86" s="268">
        <f>(AF86+100)*C86</f>
        <v>0</v>
      </c>
      <c r="BF86" s="111" t="str">
        <f>IF(B85=informatieblad!$A$6,informatieblad!$B$6,IF(B85=informatieblad!$A$7,informatieblad!$B$7,IF(B85=informatieblad!$A$8,informatieblad!$B$8,IF(B85=informatieblad!$A$2,informatieblad!$B$2,IF(B85=informatieblad!$A$3,informatieblad!$B$3,IF(B85=informatieblad!$A$4,informatieblad!$B$4,IF(B85=informatieblad!$A$5,informatieblad!$B$5,"")))))))</f>
        <v/>
      </c>
      <c r="BG86" s="275" t="str">
        <f>IF(D85=informatieblad!$A$6,informatieblad!$B$6,IF(D85=informatieblad!$A$7,informatieblad!$B$7,IF(D85=informatieblad!$A$8,informatieblad!$B$8,IF(D85=informatieblad!$A$2,informatieblad!$B$2,IF(D85=informatieblad!$A$3,informatieblad!$B$3,IF(D85=informatieblad!$A$4,informatieblad!$B$4,IF(D85=informatieblad!$A$5,informatieblad!$B$5,"")))))))</f>
        <v/>
      </c>
      <c r="BH86" s="276">
        <f>IF(BF86=BH84,(4*C86),0)</f>
        <v>0</v>
      </c>
      <c r="BI86" s="276">
        <f>IF(BG86=BH84,(4*C86),0)</f>
        <v>0</v>
      </c>
      <c r="BJ86" s="276">
        <f>IF(BF86=BJ84,(4*C86),0)</f>
        <v>0</v>
      </c>
      <c r="BK86" s="274">
        <f>IF(BG86=BJ84,(4*C86),0)</f>
        <v>0</v>
      </c>
    </row>
    <row r="87" spans="1:63" ht="5.0999999999999996" customHeight="1" thickBot="1">
      <c r="A87" s="145"/>
      <c r="B87" s="122"/>
      <c r="C87" s="122"/>
      <c r="D87" s="122"/>
      <c r="E87" s="122"/>
      <c r="F87" s="122"/>
      <c r="G87" s="122"/>
      <c r="H87" s="122"/>
      <c r="I87" s="122"/>
      <c r="J87" s="122"/>
      <c r="K87" s="146"/>
    </row>
    <row r="88" spans="1:63" ht="15.75" customHeight="1" thickBot="1">
      <c r="A88" s="445"/>
      <c r="B88" s="147"/>
      <c r="C88" s="147"/>
      <c r="D88" s="147"/>
      <c r="E88" s="147">
        <f>C88</f>
        <v>0</v>
      </c>
      <c r="F88" s="147">
        <f>(B88&gt;0)*$K$7</f>
        <v>0</v>
      </c>
      <c r="G88" s="147">
        <f>(B88&gt;0)*$K$8</f>
        <v>0</v>
      </c>
      <c r="H88" s="147"/>
      <c r="I88" s="149">
        <f>(C88-E88)/2</f>
        <v>0</v>
      </c>
      <c r="J88" s="150">
        <f>(C88-E88)-I88</f>
        <v>0</v>
      </c>
      <c r="K88" s="151"/>
      <c r="L88" s="345" t="s">
        <v>20</v>
      </c>
      <c r="V88" s="97" t="s">
        <v>14</v>
      </c>
      <c r="W88" s="98" t="s">
        <v>27</v>
      </c>
      <c r="X88" s="98" t="s">
        <v>28</v>
      </c>
      <c r="Y88" s="98" t="s">
        <v>27</v>
      </c>
      <c r="Z88" s="98" t="s">
        <v>28</v>
      </c>
      <c r="AA88" s="98" t="s">
        <v>29</v>
      </c>
      <c r="AB88" s="66" t="s">
        <v>30</v>
      </c>
      <c r="AC88" s="153" t="s">
        <v>31</v>
      </c>
      <c r="AD88" s="153"/>
      <c r="AE88" s="153"/>
      <c r="AF88" s="154" t="s">
        <v>83</v>
      </c>
      <c r="AG88" s="100" t="s">
        <v>83</v>
      </c>
      <c r="AH88" s="100" t="s">
        <v>83</v>
      </c>
      <c r="AI88" s="100" t="s">
        <v>83</v>
      </c>
      <c r="AJ88" s="98" t="s">
        <v>84</v>
      </c>
      <c r="AK88" s="98" t="s">
        <v>89</v>
      </c>
      <c r="AL88" s="100" t="s">
        <v>90</v>
      </c>
      <c r="AM88" s="100" t="s">
        <v>34</v>
      </c>
      <c r="AN88" s="98" t="s">
        <v>32</v>
      </c>
      <c r="AO88" s="98" t="s">
        <v>32</v>
      </c>
      <c r="AP88" s="98" t="s">
        <v>35</v>
      </c>
      <c r="AQ88" s="101" t="s">
        <v>36</v>
      </c>
      <c r="AS88" s="97" t="str">
        <f>informatieblad!$A$6</f>
        <v>FL20</v>
      </c>
      <c r="AT88" s="99"/>
      <c r="AU88" s="97" t="str">
        <f>informatieblad!$A$7</f>
        <v>FL30</v>
      </c>
      <c r="AV88" s="66"/>
      <c r="AW88" s="99" t="str">
        <f>informatieblad!$A$8</f>
        <v>FL40</v>
      </c>
      <c r="AX88" s="66"/>
      <c r="AY88" s="97" t="str">
        <f>informatieblad!$A$5</f>
        <v>none</v>
      </c>
      <c r="AZ88" s="264"/>
      <c r="BB88" s="266" t="s">
        <v>17</v>
      </c>
      <c r="BD88" s="266" t="s">
        <v>37</v>
      </c>
      <c r="BF88" s="269" t="s">
        <v>38</v>
      </c>
      <c r="BG88" s="272"/>
      <c r="BH88" s="272">
        <f>informatieblad!$B$3</f>
        <v>0</v>
      </c>
      <c r="BI88" s="272">
        <f>informatieblad!$B$3</f>
        <v>0</v>
      </c>
      <c r="BJ88" s="272">
        <f>informatieblad!$B$4</f>
        <v>0</v>
      </c>
      <c r="BK88" s="264">
        <f>informatieblad!$B$4</f>
        <v>0</v>
      </c>
    </row>
    <row r="89" spans="1:63" ht="15.75" customHeight="1">
      <c r="A89" s="446"/>
      <c r="B89" s="471" t="str">
        <f>IF($B88&gt;0,IF(MAX(B88:C88)&lt;informatieblad!$Q$4,informatieblad!$P$3,IF(MAX(B88:C88)&gt;informatieblad!$R$4,informatieblad!$P$5,informatieblad!$P$4)),"")</f>
        <v/>
      </c>
      <c r="C89" s="472"/>
      <c r="D89" s="471" t="str">
        <f>IF($B88&gt;0,IF(MAX(D88:E88)&lt;informatieblad!$Q$4,informatieblad!$P$3,IF(MAX(D88:E88)&gt;informatieblad!$R$4,informatieblad!$P$5,informatieblad!$P$4)),"")</f>
        <v/>
      </c>
      <c r="E89" s="472"/>
      <c r="F89" s="134" t="str">
        <f>A88&amp;"-"&amp;informatieblad!$B$20&amp;"-"&amp;B88&amp;"-"&amp;C88&amp;"-"&amp;D88&amp;"-"&amp;E88&amp;"-"&amp;F88&amp;"-"&amp;G88&amp;"-"&amp;H88&amp;"-"&amp;I88&amp;"-"&amp;J88&amp;"-"&amp;K88&amp;"-"&amp;B89&amp;"-"&amp;H90</f>
        <v>-RctJ----0-0-0--0-0---Options None</v>
      </c>
      <c r="G89" s="134"/>
      <c r="H89" s="88"/>
      <c r="I89" s="469" t="s">
        <v>82</v>
      </c>
      <c r="J89" s="470"/>
      <c r="K89" s="135" t="str">
        <f>(IF($B88&gt;0,(IF(300&gt;(MAX(AI90,H88))*1.732,300,(MAX(AI90,H88))*1.732)+F88+G88),""))</f>
        <v/>
      </c>
      <c r="L89" s="83"/>
      <c r="V89" s="103">
        <f>A88</f>
        <v>0</v>
      </c>
      <c r="W89" s="104" t="s">
        <v>39</v>
      </c>
      <c r="X89" s="104" t="s">
        <v>39</v>
      </c>
      <c r="Y89" s="104" t="s">
        <v>40</v>
      </c>
      <c r="Z89" s="104" t="s">
        <v>40</v>
      </c>
      <c r="AA89" s="104" t="s">
        <v>40</v>
      </c>
      <c r="AB89" s="105"/>
      <c r="AC89" s="155" t="s">
        <v>27</v>
      </c>
      <c r="AD89" s="155" t="s">
        <v>40</v>
      </c>
      <c r="AE89" s="155" t="s">
        <v>41</v>
      </c>
      <c r="AF89" s="156" t="s">
        <v>91</v>
      </c>
      <c r="AG89" s="104" t="s">
        <v>92</v>
      </c>
      <c r="AH89" s="104"/>
      <c r="AI89" s="136" t="s">
        <v>173</v>
      </c>
      <c r="AK89" s="136" t="s">
        <v>91</v>
      </c>
      <c r="AL89" s="136" t="s">
        <v>92</v>
      </c>
      <c r="AM89" s="107"/>
      <c r="AN89" s="104" t="s">
        <v>40</v>
      </c>
      <c r="AO89" s="104" t="s">
        <v>41</v>
      </c>
      <c r="AP89" s="108"/>
      <c r="AQ89" s="109"/>
      <c r="AS89" s="262" t="str">
        <f>informatieblad!$A$2</f>
        <v>FL20 loose</v>
      </c>
      <c r="AT89" s="263"/>
      <c r="AU89" s="262" t="str">
        <f>informatieblad!$A$3</f>
        <v>FL30 loose</v>
      </c>
      <c r="AV89" s="105"/>
      <c r="AW89" s="263" t="str">
        <f>informatieblad!$A$4</f>
        <v>FL40 loose</v>
      </c>
      <c r="AX89" s="105"/>
      <c r="AY89" s="265"/>
      <c r="AZ89" s="105"/>
      <c r="BB89" s="267"/>
      <c r="BD89" s="267"/>
      <c r="BF89" s="265" t="s">
        <v>47</v>
      </c>
      <c r="BG89" s="106" t="s">
        <v>48</v>
      </c>
      <c r="BH89" s="83" t="s">
        <v>23</v>
      </c>
      <c r="BI89" s="83" t="s">
        <v>23</v>
      </c>
      <c r="BJ89" s="83" t="s">
        <v>23</v>
      </c>
      <c r="BK89" s="273" t="s">
        <v>23</v>
      </c>
    </row>
    <row r="90" spans="1:63" ht="15.75" customHeight="1" thickBot="1">
      <c r="A90" s="476"/>
      <c r="B90" s="137" t="s">
        <v>23</v>
      </c>
      <c r="C90" s="157"/>
      <c r="D90" s="139"/>
      <c r="E90" s="140">
        <f>C90*X90</f>
        <v>0</v>
      </c>
      <c r="F90" s="141" t="s">
        <v>24</v>
      </c>
      <c r="G90" s="293"/>
      <c r="H90" s="461" t="s">
        <v>25</v>
      </c>
      <c r="I90" s="473"/>
      <c r="J90" s="473"/>
      <c r="K90" s="474"/>
      <c r="L90" s="176"/>
      <c r="V90" s="111"/>
      <c r="W90" s="112">
        <f>(((2*(C88+D88+H88))*K88)/1000000)</f>
        <v>0</v>
      </c>
      <c r="X90" s="112">
        <f>((IF(W90&lt;=informatieblad!$I$20,informatieblad!$I$20,IF(W90&gt;=informatieblad!$I$20,W90))))</f>
        <v>0.5</v>
      </c>
      <c r="Y90" s="158">
        <f>ROUND((((2*(C88+D88+H88))*K88)/1000000),2)</f>
        <v>0</v>
      </c>
      <c r="Z90" s="158">
        <f>((IF(Y90&lt;=informatieblad!$H$13,informatieblad!$H$13,IF(Y90&gt;=informatieblad!$H$13,Y90))))</f>
        <v>0</v>
      </c>
      <c r="AA90" s="113">
        <f>((Z90*AN90)+(Z90*AD90))*C90</f>
        <v>0</v>
      </c>
      <c r="AB90" s="114">
        <f>((X90*AO90)+(X90*AE90))*C90</f>
        <v>0</v>
      </c>
      <c r="AC90" s="115" t="str">
        <f>H90</f>
        <v>Options None</v>
      </c>
      <c r="AD90" s="115">
        <f>VLOOKUP(H90,informatieblad!$A$37:$D$41,2,FALSE)</f>
        <v>0</v>
      </c>
      <c r="AE90" s="115">
        <f>VLOOKUP(H90,informatieblad!$A$37:$D$41,4,FALSE)</f>
        <v>0</v>
      </c>
      <c r="AF90" s="159">
        <f>(MAX(B88,D88))</f>
        <v>0</v>
      </c>
      <c r="AG90" s="160">
        <f>(MAX(C88,E88))</f>
        <v>0</v>
      </c>
      <c r="AH90" s="160">
        <f>(MAX(A88:E88))</f>
        <v>0</v>
      </c>
      <c r="AI90" s="295">
        <f>(D88+H88)-B88</f>
        <v>0</v>
      </c>
      <c r="AJ90" s="161">
        <f>(MAX(AL90,AK90))</f>
        <v>0</v>
      </c>
      <c r="AK90" s="162">
        <f>ROUND((SQRT((((MAX(F88,H88))^2)+(K88^2)))),0)</f>
        <v>0</v>
      </c>
      <c r="AL90" s="163">
        <f>ROUND((SQRT((((MAX(I88,J88))^2)+(K88^2)))),0)</f>
        <v>0</v>
      </c>
      <c r="AM90" s="119">
        <f>LOOKUP(AH90,informatieblad!$C$27:$C$32,informatieblad!$A$27:$A$32)</f>
        <v>0.5</v>
      </c>
      <c r="AN90" s="118">
        <f>VLOOKUP(AM90,informatieblad!$A$27:$M$32,6,FALSE)</f>
        <v>0</v>
      </c>
      <c r="AO90" s="118">
        <f>VLOOKUP(AM90,informatieblad!$A$27:$M$32,8,FALSE)</f>
        <v>45.1248</v>
      </c>
      <c r="AP90" s="120"/>
      <c r="AQ90" s="121">
        <f>ROUND((AP175*Z90),1)</f>
        <v>0</v>
      </c>
      <c r="AS90" s="111">
        <f>(IF(B89=AS88,((2*B88)+(2*C88)),IF(B89=AS89,((2*B88)+(2*C88)),0)))*C90</f>
        <v>0</v>
      </c>
      <c r="AT90" s="261">
        <f>(IF(D89=AS88,((2*D88)+(2*E88)),IF(D89=AS89,((2*D88)+(2*E88)),0)))*C90</f>
        <v>0</v>
      </c>
      <c r="AU90" s="111">
        <f>(IF(D89=AU88,((2*B88)+(2*C88)),IF(D89=AU89,((2*B88)+(2*C88)),0)))*C90</f>
        <v>0</v>
      </c>
      <c r="AV90" s="260">
        <f>(IF(D89=AU88,((2*D88)+(2*E88)),IF(D89=AU89,((2*D88)+(2*E88)),0)))*C90</f>
        <v>0</v>
      </c>
      <c r="AW90" s="261">
        <f>(IF(B89=AW88,((2*B88)+(2*C88)),IF(B89=AW89,((2*B88)+(2*C88)),0)))*C90</f>
        <v>0</v>
      </c>
      <c r="AX90" s="260">
        <f>(IF(D89=AW88,((2*D88)+(2*E88)),IF(D89=AW89,((2*D88)+(2*E88)),0)))*C90</f>
        <v>0</v>
      </c>
      <c r="AY90" s="111">
        <f>(IF(B89=AY88,((2*B88)+(2*C88)),0))*C90</f>
        <v>0</v>
      </c>
      <c r="AZ90" s="260">
        <f>(IF(D89=AY88,((2*D88)+(2*E88)),0))*C90</f>
        <v>0</v>
      </c>
      <c r="BB90" s="268">
        <f>K88*C90</f>
        <v>0</v>
      </c>
      <c r="BD90" s="268">
        <f>(AF90+100)*C90</f>
        <v>0</v>
      </c>
      <c r="BF90" s="111" t="str">
        <f>IF(B89=informatieblad!$A$6,informatieblad!$B$6,IF(B89=informatieblad!$A$7,informatieblad!$B$7,IF(B89=informatieblad!$A$8,informatieblad!$B$8,IF(B89=informatieblad!$A$2,informatieblad!$B$2,IF(B89=informatieblad!$A$3,informatieblad!$B$3,IF(B89=informatieblad!$A$4,informatieblad!$B$4,IF(B89=informatieblad!$A$5,informatieblad!$B$5,"")))))))</f>
        <v/>
      </c>
      <c r="BG90" s="275" t="str">
        <f>IF(D89=informatieblad!$A$6,informatieblad!$B$6,IF(D89=informatieblad!$A$7,informatieblad!$B$7,IF(D89=informatieblad!$A$8,informatieblad!$B$8,IF(D89=informatieblad!$A$2,informatieblad!$B$2,IF(D89=informatieblad!$A$3,informatieblad!$B$3,IF(D89=informatieblad!$A$4,informatieblad!$B$4,IF(D89=informatieblad!$A$5,informatieblad!$B$5,"")))))))</f>
        <v/>
      </c>
      <c r="BH90" s="276">
        <f>IF(BF90=BH88,(4*C90),0)</f>
        <v>0</v>
      </c>
      <c r="BI90" s="276">
        <f>IF(BG90=BH88,(4*C90),0)</f>
        <v>0</v>
      </c>
      <c r="BJ90" s="276">
        <f>IF(BF90=BJ88,(4*C90),0)</f>
        <v>0</v>
      </c>
      <c r="BK90" s="274">
        <f>IF(BG90=BJ88,(4*C90),0)</f>
        <v>0</v>
      </c>
    </row>
    <row r="91" spans="1:63" ht="5.0999999999999996" customHeight="1" thickBot="1">
      <c r="A91" s="145"/>
      <c r="B91" s="122"/>
      <c r="C91" s="122"/>
      <c r="D91" s="122"/>
      <c r="E91" s="122"/>
      <c r="F91" s="122"/>
      <c r="G91" s="122"/>
      <c r="H91" s="122"/>
      <c r="I91" s="122"/>
      <c r="J91" s="122"/>
      <c r="K91" s="146"/>
    </row>
    <row r="92" spans="1:63" ht="15.75" customHeight="1" thickBot="1">
      <c r="A92" s="445"/>
      <c r="B92" s="147"/>
      <c r="C92" s="147"/>
      <c r="D92" s="147"/>
      <c r="E92" s="147">
        <f>C92</f>
        <v>0</v>
      </c>
      <c r="F92" s="147">
        <f>(B92&gt;0)*$K$7</f>
        <v>0</v>
      </c>
      <c r="G92" s="147">
        <f>(B92&gt;0)*$K$8</f>
        <v>0</v>
      </c>
      <c r="H92" s="147"/>
      <c r="I92" s="149">
        <f>(C92-E92)/2</f>
        <v>0</v>
      </c>
      <c r="J92" s="150">
        <f>(C92-E92)-I92</f>
        <v>0</v>
      </c>
      <c r="K92" s="151"/>
      <c r="L92" s="345" t="s">
        <v>20</v>
      </c>
      <c r="V92" s="97" t="s">
        <v>14</v>
      </c>
      <c r="W92" s="98" t="s">
        <v>27</v>
      </c>
      <c r="X92" s="98" t="s">
        <v>28</v>
      </c>
      <c r="Y92" s="98" t="s">
        <v>27</v>
      </c>
      <c r="Z92" s="98" t="s">
        <v>28</v>
      </c>
      <c r="AA92" s="98" t="s">
        <v>29</v>
      </c>
      <c r="AB92" s="66" t="s">
        <v>30</v>
      </c>
      <c r="AC92" s="153" t="s">
        <v>31</v>
      </c>
      <c r="AD92" s="153"/>
      <c r="AE92" s="153"/>
      <c r="AF92" s="154" t="s">
        <v>83</v>
      </c>
      <c r="AG92" s="100" t="s">
        <v>83</v>
      </c>
      <c r="AH92" s="100" t="s">
        <v>83</v>
      </c>
      <c r="AI92" s="100" t="s">
        <v>83</v>
      </c>
      <c r="AJ92" s="98" t="s">
        <v>84</v>
      </c>
      <c r="AK92" s="98" t="s">
        <v>89</v>
      </c>
      <c r="AL92" s="100" t="s">
        <v>90</v>
      </c>
      <c r="AM92" s="100" t="s">
        <v>34</v>
      </c>
      <c r="AN92" s="98" t="s">
        <v>32</v>
      </c>
      <c r="AO92" s="98" t="s">
        <v>32</v>
      </c>
      <c r="AP92" s="98" t="s">
        <v>35</v>
      </c>
      <c r="AQ92" s="101" t="s">
        <v>36</v>
      </c>
      <c r="AS92" s="97" t="str">
        <f>informatieblad!$A$6</f>
        <v>FL20</v>
      </c>
      <c r="AT92" s="99"/>
      <c r="AU92" s="97" t="str">
        <f>informatieblad!$A$7</f>
        <v>FL30</v>
      </c>
      <c r="AV92" s="66"/>
      <c r="AW92" s="99" t="str">
        <f>informatieblad!$A$8</f>
        <v>FL40</v>
      </c>
      <c r="AX92" s="66"/>
      <c r="AY92" s="97" t="str">
        <f>informatieblad!$A$5</f>
        <v>none</v>
      </c>
      <c r="AZ92" s="264"/>
      <c r="BB92" s="266" t="s">
        <v>17</v>
      </c>
      <c r="BD92" s="266" t="s">
        <v>37</v>
      </c>
      <c r="BF92" s="269" t="s">
        <v>38</v>
      </c>
      <c r="BG92" s="272"/>
      <c r="BH92" s="272">
        <f>informatieblad!$B$3</f>
        <v>0</v>
      </c>
      <c r="BI92" s="272">
        <f>informatieblad!$B$3</f>
        <v>0</v>
      </c>
      <c r="BJ92" s="272">
        <f>informatieblad!$B$4</f>
        <v>0</v>
      </c>
      <c r="BK92" s="264">
        <f>informatieblad!$B$4</f>
        <v>0</v>
      </c>
    </row>
    <row r="93" spans="1:63" ht="15.75" customHeight="1">
      <c r="A93" s="446"/>
      <c r="B93" s="471" t="str">
        <f>IF($B92&gt;0,IF(MAX(B92:C92)&lt;informatieblad!$Q$4,informatieblad!$P$3,IF(MAX(B92:C92)&gt;informatieblad!$R$4,informatieblad!$P$5,informatieblad!$P$4)),"")</f>
        <v/>
      </c>
      <c r="C93" s="472"/>
      <c r="D93" s="471" t="str">
        <f>IF($B92&gt;0,IF(MAX(D92:E92)&lt;informatieblad!$Q$4,informatieblad!$P$3,IF(MAX(D92:E92)&gt;informatieblad!$R$4,informatieblad!$P$5,informatieblad!$P$4)),"")</f>
        <v/>
      </c>
      <c r="E93" s="472"/>
      <c r="F93" s="134" t="str">
        <f>A92&amp;"-"&amp;informatieblad!$B$20&amp;"-"&amp;B92&amp;"-"&amp;C92&amp;"-"&amp;D92&amp;"-"&amp;E92&amp;"-"&amp;F92&amp;"-"&amp;G92&amp;"-"&amp;H92&amp;"-"&amp;I92&amp;"-"&amp;J92&amp;"-"&amp;K92&amp;"-"&amp;B93&amp;"-"&amp;H94</f>
        <v>-RctJ----0-0-0--0-0---Options None</v>
      </c>
      <c r="G93" s="134"/>
      <c r="H93" s="88"/>
      <c r="I93" s="469" t="s">
        <v>82</v>
      </c>
      <c r="J93" s="470"/>
      <c r="K93" s="135" t="str">
        <f>(IF($B92&gt;0,(IF(300&gt;(MAX(AI94,H92))*1.732,300,(MAX(AI94,H92))*1.732)+F92+G92),""))</f>
        <v/>
      </c>
      <c r="L93" s="83"/>
      <c r="V93" s="103">
        <f>A92</f>
        <v>0</v>
      </c>
      <c r="W93" s="104" t="s">
        <v>39</v>
      </c>
      <c r="X93" s="104" t="s">
        <v>39</v>
      </c>
      <c r="Y93" s="104" t="s">
        <v>40</v>
      </c>
      <c r="Z93" s="104" t="s">
        <v>40</v>
      </c>
      <c r="AA93" s="104" t="s">
        <v>40</v>
      </c>
      <c r="AB93" s="105"/>
      <c r="AC93" s="155" t="s">
        <v>27</v>
      </c>
      <c r="AD93" s="155" t="s">
        <v>40</v>
      </c>
      <c r="AE93" s="155" t="s">
        <v>41</v>
      </c>
      <c r="AF93" s="156" t="s">
        <v>91</v>
      </c>
      <c r="AG93" s="104" t="s">
        <v>92</v>
      </c>
      <c r="AH93" s="104"/>
      <c r="AI93" s="136" t="s">
        <v>173</v>
      </c>
      <c r="AK93" s="136" t="s">
        <v>91</v>
      </c>
      <c r="AL93" s="136" t="s">
        <v>92</v>
      </c>
      <c r="AM93" s="107"/>
      <c r="AN93" s="104" t="s">
        <v>40</v>
      </c>
      <c r="AO93" s="104" t="s">
        <v>41</v>
      </c>
      <c r="AP93" s="108"/>
      <c r="AQ93" s="109"/>
      <c r="AS93" s="262" t="str">
        <f>informatieblad!$A$2</f>
        <v>FL20 loose</v>
      </c>
      <c r="AT93" s="263"/>
      <c r="AU93" s="262" t="str">
        <f>informatieblad!$A$3</f>
        <v>FL30 loose</v>
      </c>
      <c r="AV93" s="105"/>
      <c r="AW93" s="263" t="str">
        <f>informatieblad!$A$4</f>
        <v>FL40 loose</v>
      </c>
      <c r="AX93" s="105"/>
      <c r="AY93" s="265"/>
      <c r="AZ93" s="105"/>
      <c r="BB93" s="267"/>
      <c r="BD93" s="267"/>
      <c r="BF93" s="265" t="s">
        <v>47</v>
      </c>
      <c r="BG93" s="106" t="s">
        <v>48</v>
      </c>
      <c r="BH93" s="83" t="s">
        <v>23</v>
      </c>
      <c r="BI93" s="83" t="s">
        <v>23</v>
      </c>
      <c r="BJ93" s="83" t="s">
        <v>23</v>
      </c>
      <c r="BK93" s="273" t="s">
        <v>23</v>
      </c>
    </row>
    <row r="94" spans="1:63" ht="15.75" customHeight="1" thickBot="1">
      <c r="A94" s="476"/>
      <c r="B94" s="137" t="s">
        <v>23</v>
      </c>
      <c r="C94" s="157"/>
      <c r="D94" s="139"/>
      <c r="E94" s="140">
        <f>C94*X94</f>
        <v>0</v>
      </c>
      <c r="F94" s="141" t="s">
        <v>24</v>
      </c>
      <c r="G94" s="293"/>
      <c r="H94" s="461" t="s">
        <v>25</v>
      </c>
      <c r="I94" s="473"/>
      <c r="J94" s="473"/>
      <c r="K94" s="474"/>
      <c r="L94" s="176"/>
      <c r="V94" s="111"/>
      <c r="W94" s="112">
        <f>(((2*(C92+D92+H92))*K92)/1000000)</f>
        <v>0</v>
      </c>
      <c r="X94" s="112">
        <f>((IF(W94&lt;=informatieblad!$I$20,informatieblad!$I$20,IF(W94&gt;=informatieblad!$I$20,W94))))</f>
        <v>0.5</v>
      </c>
      <c r="Y94" s="158">
        <f>ROUND((((2*(C92+D92+H92))*K92)/1000000),2)</f>
        <v>0</v>
      </c>
      <c r="Z94" s="112">
        <f>((IF(Y94&lt;=informatieblad!$H$13,informatieblad!$H$13,IF(Y94&gt;=informatieblad!$H$13,Y94))))</f>
        <v>0</v>
      </c>
      <c r="AA94" s="113">
        <f>((Z94*AN94)+(Z94*AD94))*C94</f>
        <v>0</v>
      </c>
      <c r="AB94" s="114">
        <f>((X94*AO94)+(X94*AE94))*C94</f>
        <v>0</v>
      </c>
      <c r="AC94" s="115" t="str">
        <f>H94</f>
        <v>Options None</v>
      </c>
      <c r="AD94" s="115">
        <f>VLOOKUP(H94,informatieblad!$A$37:$D$41,2,FALSE)</f>
        <v>0</v>
      </c>
      <c r="AE94" s="115">
        <f>VLOOKUP(H94,informatieblad!$A$37:$D$41,4,FALSE)</f>
        <v>0</v>
      </c>
      <c r="AF94" s="159">
        <f>(MAX(B92,D92))</f>
        <v>0</v>
      </c>
      <c r="AG94" s="160">
        <f>(MAX(C92,E92))</f>
        <v>0</v>
      </c>
      <c r="AH94" s="160">
        <f>(MAX(A92:E92))</f>
        <v>0</v>
      </c>
      <c r="AI94" s="295">
        <f>(D92+H92)-B92</f>
        <v>0</v>
      </c>
      <c r="AJ94" s="161">
        <f>(MAX(AL94,AK94))</f>
        <v>0</v>
      </c>
      <c r="AK94" s="162">
        <f>ROUND((SQRT((((MAX(F92,H92))^2)+(K92^2)))),0)</f>
        <v>0</v>
      </c>
      <c r="AL94" s="163">
        <f>ROUND((SQRT((((MAX(I92,J92))^2)+(K92^2)))),0)</f>
        <v>0</v>
      </c>
      <c r="AM94" s="119">
        <f>LOOKUP(AH94,informatieblad!$C$27:$C$32,informatieblad!$A$27:$A$32)</f>
        <v>0.5</v>
      </c>
      <c r="AN94" s="118">
        <f>VLOOKUP(AM94,informatieblad!$A$27:$M$32,6,FALSE)</f>
        <v>0</v>
      </c>
      <c r="AO94" s="118">
        <f>VLOOKUP(AM94,informatieblad!$A$27:$M$32,8,FALSE)</f>
        <v>45.1248</v>
      </c>
      <c r="AP94" s="120"/>
      <c r="AQ94" s="121">
        <f>ROUND((AP95*Z94),1)</f>
        <v>0</v>
      </c>
      <c r="AS94" s="111">
        <f>(IF(B93=AS92,((2*B92)+(2*C92)),IF(B93=AS93,((2*B92)+(2*C92)),0)))*C94</f>
        <v>0</v>
      </c>
      <c r="AT94" s="261">
        <f>(IF(D93=AS92,((2*D92)+(2*E92)),IF(D93=AS93,((2*D92)+(2*E92)),0)))*C94</f>
        <v>0</v>
      </c>
      <c r="AU94" s="111">
        <f>(IF(D93=AU92,((2*B92)+(2*C92)),IF(D93=AU93,((2*B92)+(2*C92)),0)))*C94</f>
        <v>0</v>
      </c>
      <c r="AV94" s="260">
        <f>(IF(D93=AU92,((2*D92)+(2*E92)),IF(D93=AU93,((2*D92)+(2*E92)),0)))*C94</f>
        <v>0</v>
      </c>
      <c r="AW94" s="261">
        <f>(IF(B93=AW92,((2*B92)+(2*C92)),IF(B93=AW93,((2*B92)+(2*C92)),0)))*C94</f>
        <v>0</v>
      </c>
      <c r="AX94" s="260">
        <f>(IF(D93=AW92,((2*D92)+(2*E92)),IF(D93=AW93,((2*D92)+(2*E92)),0)))*C94</f>
        <v>0</v>
      </c>
      <c r="AY94" s="111">
        <f>(IF(B93=AY92,((2*B92)+(2*C92)),0))*C94</f>
        <v>0</v>
      </c>
      <c r="AZ94" s="260">
        <f>(IF(D93=AY92,((2*D92)+(2*E92)),0))*C94</f>
        <v>0</v>
      </c>
      <c r="BB94" s="268">
        <f>K92*C94</f>
        <v>0</v>
      </c>
      <c r="BD94" s="268">
        <f>(AF94+100)*C94</f>
        <v>0</v>
      </c>
      <c r="BF94" s="111" t="str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/>
      </c>
      <c r="BG94" s="275" t="str">
        <f>IF(D93=informatieblad!$A$6,informatieblad!$B$6,IF(D93=informatieblad!$A$7,informatieblad!$B$7,IF(D93=informatieblad!$A$8,informatieblad!$B$8,IF(D93=informatieblad!$A$2,informatieblad!$B$2,IF(D93=informatieblad!$A$3,informatieblad!$B$3,IF(D93=informatieblad!$A$4,informatieblad!$B$4,IF(D93=informatieblad!$A$5,informatieblad!$B$5,"")))))))</f>
        <v/>
      </c>
      <c r="BH94" s="276">
        <f>IF(BF94=BH92,(4*C94),0)</f>
        <v>0</v>
      </c>
      <c r="BI94" s="276">
        <f>IF(BG94=BH92,(4*C94),0)</f>
        <v>0</v>
      </c>
      <c r="BJ94" s="276">
        <f>IF(BF94=BJ92,(4*C94),0)</f>
        <v>0</v>
      </c>
      <c r="BK94" s="274">
        <f>IF(BG94=BJ92,(4*C94),0)</f>
        <v>0</v>
      </c>
    </row>
    <row r="95" spans="1:63" ht="5.0999999999999996" customHeight="1" thickBot="1">
      <c r="A95" s="145"/>
      <c r="B95" s="122"/>
      <c r="C95" s="122"/>
      <c r="D95" s="122"/>
      <c r="E95" s="122"/>
      <c r="F95" s="122"/>
      <c r="G95" s="122"/>
      <c r="H95" s="122"/>
      <c r="I95" s="122"/>
      <c r="J95" s="122"/>
      <c r="K95" s="146"/>
    </row>
    <row r="96" spans="1:63" ht="15.75" customHeight="1" thickBot="1">
      <c r="A96" s="445"/>
      <c r="B96" s="147"/>
      <c r="C96" s="147"/>
      <c r="D96" s="147"/>
      <c r="E96" s="147">
        <f>C96</f>
        <v>0</v>
      </c>
      <c r="F96" s="147">
        <f>(B96&gt;0)*$K$7</f>
        <v>0</v>
      </c>
      <c r="G96" s="147">
        <f>(B96&gt;0)*$K$8</f>
        <v>0</v>
      </c>
      <c r="H96" s="147"/>
      <c r="I96" s="149">
        <f>(C96-E96)/2</f>
        <v>0</v>
      </c>
      <c r="J96" s="150">
        <f>(C96-E96)-I96</f>
        <v>0</v>
      </c>
      <c r="K96" s="151"/>
      <c r="L96" s="345" t="s">
        <v>20</v>
      </c>
      <c r="V96" s="97" t="s">
        <v>14</v>
      </c>
      <c r="W96" s="98" t="s">
        <v>27</v>
      </c>
      <c r="X96" s="98" t="s">
        <v>28</v>
      </c>
      <c r="Y96" s="98" t="s">
        <v>27</v>
      </c>
      <c r="Z96" s="98" t="s">
        <v>28</v>
      </c>
      <c r="AA96" s="98" t="s">
        <v>29</v>
      </c>
      <c r="AB96" s="66" t="s">
        <v>30</v>
      </c>
      <c r="AC96" s="153" t="s">
        <v>31</v>
      </c>
      <c r="AD96" s="153"/>
      <c r="AE96" s="153"/>
      <c r="AF96" s="154" t="s">
        <v>83</v>
      </c>
      <c r="AG96" s="100" t="s">
        <v>83</v>
      </c>
      <c r="AH96" s="100" t="s">
        <v>83</v>
      </c>
      <c r="AI96" s="100" t="s">
        <v>83</v>
      </c>
      <c r="AJ96" s="98" t="s">
        <v>84</v>
      </c>
      <c r="AK96" s="98" t="s">
        <v>89</v>
      </c>
      <c r="AL96" s="100" t="s">
        <v>90</v>
      </c>
      <c r="AM96" s="100" t="s">
        <v>34</v>
      </c>
      <c r="AN96" s="98" t="s">
        <v>32</v>
      </c>
      <c r="AO96" s="98" t="s">
        <v>32</v>
      </c>
      <c r="AP96" s="98" t="s">
        <v>35</v>
      </c>
      <c r="AQ96" s="101" t="s">
        <v>36</v>
      </c>
      <c r="AS96" s="97" t="str">
        <f>informatieblad!$A$6</f>
        <v>FL20</v>
      </c>
      <c r="AT96" s="99"/>
      <c r="AU96" s="97" t="str">
        <f>informatieblad!$A$7</f>
        <v>FL30</v>
      </c>
      <c r="AV96" s="66"/>
      <c r="AW96" s="99" t="str">
        <f>informatieblad!$A$8</f>
        <v>FL40</v>
      </c>
      <c r="AX96" s="66"/>
      <c r="AY96" s="97" t="str">
        <f>informatieblad!$A$5</f>
        <v>none</v>
      </c>
      <c r="AZ96" s="264"/>
      <c r="BB96" s="266" t="s">
        <v>17</v>
      </c>
      <c r="BD96" s="266" t="s">
        <v>37</v>
      </c>
      <c r="BF96" s="269" t="s">
        <v>38</v>
      </c>
      <c r="BG96" s="272"/>
      <c r="BH96" s="272">
        <f>informatieblad!$B$3</f>
        <v>0</v>
      </c>
      <c r="BI96" s="272">
        <f>informatieblad!$B$3</f>
        <v>0</v>
      </c>
      <c r="BJ96" s="272">
        <f>informatieblad!$B$4</f>
        <v>0</v>
      </c>
      <c r="BK96" s="264">
        <f>informatieblad!$B$4</f>
        <v>0</v>
      </c>
    </row>
    <row r="97" spans="1:63" ht="15.75" customHeight="1">
      <c r="A97" s="446"/>
      <c r="B97" s="471" t="str">
        <f>IF($B96&gt;0,IF(MAX(B96:C96)&lt;informatieblad!$Q$4,informatieblad!$P$3,IF(MAX(B96:C96)&gt;informatieblad!$R$4,informatieblad!$P$5,informatieblad!$P$4)),"")</f>
        <v/>
      </c>
      <c r="C97" s="472"/>
      <c r="D97" s="471" t="str">
        <f>IF($B96&gt;0,IF(MAX(D96:E96)&lt;informatieblad!$Q$4,informatieblad!$P$3,IF(MAX(D96:E96)&gt;informatieblad!$R$4,informatieblad!$P$5,informatieblad!$P$4)),"")</f>
        <v/>
      </c>
      <c r="E97" s="472"/>
      <c r="F97" s="134" t="str">
        <f>A96&amp;"-"&amp;informatieblad!$B$20&amp;"-"&amp;B96&amp;"-"&amp;C96&amp;"-"&amp;D96&amp;"-"&amp;E96&amp;"-"&amp;F96&amp;"-"&amp;G96&amp;"-"&amp;H96&amp;"-"&amp;I96&amp;"-"&amp;J96&amp;"-"&amp;K96&amp;"-"&amp;B97&amp;"-"&amp;H98</f>
        <v>-RctJ----0-0-0--0-0---Options None</v>
      </c>
      <c r="G97" s="134"/>
      <c r="H97" s="88"/>
      <c r="I97" s="469" t="s">
        <v>82</v>
      </c>
      <c r="J97" s="470"/>
      <c r="K97" s="135" t="str">
        <f>(IF($B96&gt;0,(IF(300&gt;(MAX(AI98,H96))*1.732,300,(MAX(AI98,H96))*1.732)+F96+G96),""))</f>
        <v/>
      </c>
      <c r="L97" s="83"/>
      <c r="V97" s="103">
        <f>A96</f>
        <v>0</v>
      </c>
      <c r="W97" s="104" t="s">
        <v>39</v>
      </c>
      <c r="X97" s="104" t="s">
        <v>39</v>
      </c>
      <c r="Y97" s="104" t="s">
        <v>40</v>
      </c>
      <c r="Z97" s="104" t="s">
        <v>40</v>
      </c>
      <c r="AA97" s="104" t="s">
        <v>40</v>
      </c>
      <c r="AB97" s="105"/>
      <c r="AC97" s="155" t="s">
        <v>27</v>
      </c>
      <c r="AD97" s="155" t="s">
        <v>40</v>
      </c>
      <c r="AE97" s="155" t="s">
        <v>41</v>
      </c>
      <c r="AF97" s="156" t="s">
        <v>91</v>
      </c>
      <c r="AG97" s="104" t="s">
        <v>92</v>
      </c>
      <c r="AH97" s="104"/>
      <c r="AI97" s="136" t="s">
        <v>173</v>
      </c>
      <c r="AK97" s="136" t="s">
        <v>91</v>
      </c>
      <c r="AL97" s="136" t="s">
        <v>92</v>
      </c>
      <c r="AM97" s="107"/>
      <c r="AN97" s="104" t="s">
        <v>40</v>
      </c>
      <c r="AO97" s="104" t="s">
        <v>41</v>
      </c>
      <c r="AP97" s="108"/>
      <c r="AQ97" s="109"/>
      <c r="AS97" s="262" t="str">
        <f>informatieblad!$A$2</f>
        <v>FL20 loose</v>
      </c>
      <c r="AT97" s="263"/>
      <c r="AU97" s="262" t="str">
        <f>informatieblad!$A$3</f>
        <v>FL30 loose</v>
      </c>
      <c r="AV97" s="105"/>
      <c r="AW97" s="263" t="str">
        <f>informatieblad!$A$4</f>
        <v>FL40 loose</v>
      </c>
      <c r="AX97" s="105"/>
      <c r="AY97" s="265"/>
      <c r="AZ97" s="105"/>
      <c r="BB97" s="267"/>
      <c r="BD97" s="267"/>
      <c r="BF97" s="265" t="s">
        <v>47</v>
      </c>
      <c r="BG97" s="106" t="s">
        <v>48</v>
      </c>
      <c r="BH97" s="83" t="s">
        <v>23</v>
      </c>
      <c r="BI97" s="83" t="s">
        <v>23</v>
      </c>
      <c r="BJ97" s="83" t="s">
        <v>23</v>
      </c>
      <c r="BK97" s="273" t="s">
        <v>23</v>
      </c>
    </row>
    <row r="98" spans="1:63" ht="15.75" customHeight="1" thickBot="1">
      <c r="A98" s="476"/>
      <c r="B98" s="137" t="s">
        <v>23</v>
      </c>
      <c r="C98" s="157"/>
      <c r="D98" s="139"/>
      <c r="E98" s="140">
        <f>C98*X98</f>
        <v>0</v>
      </c>
      <c r="F98" s="141" t="s">
        <v>24</v>
      </c>
      <c r="G98" s="293"/>
      <c r="H98" s="461" t="s">
        <v>25</v>
      </c>
      <c r="I98" s="473"/>
      <c r="J98" s="473"/>
      <c r="K98" s="474"/>
      <c r="L98" s="176"/>
      <c r="V98" s="111"/>
      <c r="W98" s="112">
        <f>(((2*(C96+D96+H96))*K96)/1000000)</f>
        <v>0</v>
      </c>
      <c r="X98" s="112">
        <f>((IF(W98&lt;=informatieblad!$I$20,informatieblad!$I$20,IF(W98&gt;=informatieblad!$I$20,W98))))</f>
        <v>0.5</v>
      </c>
      <c r="Y98" s="158">
        <f>ROUND((((2*(C96+D96+H96))*K96)/1000000),2)</f>
        <v>0</v>
      </c>
      <c r="Z98" s="112">
        <f>((IF(Y98&lt;=informatieblad!$H$13,informatieblad!$H$13,IF(Y98&gt;=informatieblad!$H$13,Y98))))</f>
        <v>0</v>
      </c>
      <c r="AA98" s="113">
        <f>((Z98*AN98)+(Z98*AD98))*C98</f>
        <v>0</v>
      </c>
      <c r="AB98" s="114">
        <f>((X98*AO98)+(X98*AE98))*C98</f>
        <v>0</v>
      </c>
      <c r="AC98" s="115" t="str">
        <f>H98</f>
        <v>Options None</v>
      </c>
      <c r="AD98" s="115">
        <f>VLOOKUP(H98,informatieblad!$A$37:$D$41,2,FALSE)</f>
        <v>0</v>
      </c>
      <c r="AE98" s="115">
        <f>VLOOKUP(H98,informatieblad!$A$37:$D$41,4,FALSE)</f>
        <v>0</v>
      </c>
      <c r="AF98" s="159">
        <f>(MAX(B96,D96))</f>
        <v>0</v>
      </c>
      <c r="AG98" s="160">
        <f>(MAX(C96,E96))</f>
        <v>0</v>
      </c>
      <c r="AH98" s="160">
        <f>(MAX(A96:E96))</f>
        <v>0</v>
      </c>
      <c r="AI98" s="295">
        <f>(D96+H96)-B96</f>
        <v>0</v>
      </c>
      <c r="AJ98" s="161">
        <f>(MAX(AL98,AK98))</f>
        <v>0</v>
      </c>
      <c r="AK98" s="162">
        <f>ROUND((SQRT((((MAX(F96,H96))^2)+(K96^2)))),0)</f>
        <v>0</v>
      </c>
      <c r="AL98" s="163">
        <f>ROUND((SQRT((((MAX(I96,J96))^2)+(K96^2)))),0)</f>
        <v>0</v>
      </c>
      <c r="AM98" s="119">
        <f>LOOKUP(AH98,informatieblad!$C$27:$C$32,informatieblad!$A$27:$A$32)</f>
        <v>0.5</v>
      </c>
      <c r="AN98" s="118">
        <f>VLOOKUP(AM98,informatieblad!$A$27:$M$32,6,FALSE)</f>
        <v>0</v>
      </c>
      <c r="AO98" s="118">
        <f>VLOOKUP(AM98,informatieblad!$A$27:$M$32,8,FALSE)</f>
        <v>45.1248</v>
      </c>
      <c r="AP98" s="120"/>
      <c r="AQ98" s="121">
        <f>ROUND((AP99*Z98),1)</f>
        <v>0</v>
      </c>
      <c r="AS98" s="111">
        <f>(IF(B97=AS96,((2*B96)+(2*C96)),IF(B97=AS97,((2*B96)+(2*C96)),0)))*C98</f>
        <v>0</v>
      </c>
      <c r="AT98" s="261">
        <f>(IF(D97=AS96,((2*D96)+(2*E96)),IF(D97=AS97,((2*D96)+(2*E96)),0)))*C98</f>
        <v>0</v>
      </c>
      <c r="AU98" s="111">
        <f>(IF(D97=AU96,((2*B96)+(2*C96)),IF(D97=AU97,((2*B96)+(2*C96)),0)))*C98</f>
        <v>0</v>
      </c>
      <c r="AV98" s="260">
        <f>(IF(D97=AU96,((2*D96)+(2*E96)),IF(D97=AU97,((2*D96)+(2*E96)),0)))*C98</f>
        <v>0</v>
      </c>
      <c r="AW98" s="261">
        <f>(IF(B97=AW96,((2*B96)+(2*C96)),IF(B97=AW97,((2*B96)+(2*C96)),0)))*C98</f>
        <v>0</v>
      </c>
      <c r="AX98" s="260">
        <f>(IF(D97=AW96,((2*D96)+(2*E96)),IF(D97=AW97,((2*D96)+(2*E96)),0)))*C98</f>
        <v>0</v>
      </c>
      <c r="AY98" s="111">
        <f>(IF(B97=AY96,((2*B96)+(2*C96)),0))*C98</f>
        <v>0</v>
      </c>
      <c r="AZ98" s="260">
        <f>(IF(D97=AY96,((2*D96)+(2*E96)),0))*C98</f>
        <v>0</v>
      </c>
      <c r="BB98" s="268">
        <f>K96*C98</f>
        <v>0</v>
      </c>
      <c r="BD98" s="268">
        <f>(AF98+100)*C98</f>
        <v>0</v>
      </c>
      <c r="BF98" s="111" t="str">
        <f>IF(B97=informatieblad!$A$6,informatieblad!$B$6,IF(B97=informatieblad!$A$7,informatieblad!$B$7,IF(B97=informatieblad!$A$8,informatieblad!$B$8,IF(B97=informatieblad!$A$2,informatieblad!$B$2,IF(B97=informatieblad!$A$3,informatieblad!$B$3,IF(B97=informatieblad!$A$4,informatieblad!$B$4,IF(B97=informatieblad!$A$5,informatieblad!$B$5,"")))))))</f>
        <v/>
      </c>
      <c r="BG98" s="275" t="str">
        <f>IF(D97=informatieblad!$A$6,informatieblad!$B$6,IF(D97=informatieblad!$A$7,informatieblad!$B$7,IF(D97=informatieblad!$A$8,informatieblad!$B$8,IF(D97=informatieblad!$A$2,informatieblad!$B$2,IF(D97=informatieblad!$A$3,informatieblad!$B$3,IF(D97=informatieblad!$A$4,informatieblad!$B$4,IF(D97=informatieblad!$A$5,informatieblad!$B$5,"")))))))</f>
        <v/>
      </c>
      <c r="BH98" s="276">
        <f>IF(BF98=BH96,(4*C98),0)</f>
        <v>0</v>
      </c>
      <c r="BI98" s="276">
        <f>IF(BG98=BH96,(4*C98),0)</f>
        <v>0</v>
      </c>
      <c r="BJ98" s="276">
        <f>IF(BF98=BJ96,(4*C98),0)</f>
        <v>0</v>
      </c>
      <c r="BK98" s="274">
        <f>IF(BG98=BJ96,(4*C98),0)</f>
        <v>0</v>
      </c>
    </row>
    <row r="99" spans="1:63" ht="5.0999999999999996" customHeight="1" thickBot="1">
      <c r="A99" s="145"/>
      <c r="B99" s="122"/>
      <c r="C99" s="122"/>
      <c r="D99" s="122"/>
      <c r="E99" s="122"/>
      <c r="F99" s="122"/>
      <c r="G99" s="122"/>
      <c r="H99" s="122"/>
      <c r="I99" s="122"/>
      <c r="J99" s="122"/>
      <c r="K99" s="146"/>
    </row>
    <row r="100" spans="1:63" ht="15.75" customHeight="1" thickBot="1">
      <c r="A100" s="445"/>
      <c r="B100" s="147"/>
      <c r="C100" s="147"/>
      <c r="D100" s="147"/>
      <c r="E100" s="147">
        <f>C100</f>
        <v>0</v>
      </c>
      <c r="F100" s="147">
        <f>(B100&gt;0)*$K$7</f>
        <v>0</v>
      </c>
      <c r="G100" s="147">
        <f>(B100&gt;0)*$K$8</f>
        <v>0</v>
      </c>
      <c r="H100" s="147"/>
      <c r="I100" s="149">
        <f>(C100-E100)/2</f>
        <v>0</v>
      </c>
      <c r="J100" s="150">
        <f>(C100-E100)-I100</f>
        <v>0</v>
      </c>
      <c r="K100" s="151"/>
      <c r="L100" s="345" t="s">
        <v>20</v>
      </c>
      <c r="V100" s="97" t="s">
        <v>14</v>
      </c>
      <c r="W100" s="98" t="s">
        <v>27</v>
      </c>
      <c r="X100" s="98" t="s">
        <v>28</v>
      </c>
      <c r="Y100" s="98" t="s">
        <v>27</v>
      </c>
      <c r="Z100" s="98" t="s">
        <v>28</v>
      </c>
      <c r="AA100" s="98" t="s">
        <v>29</v>
      </c>
      <c r="AB100" s="66" t="s">
        <v>30</v>
      </c>
      <c r="AC100" s="153" t="s">
        <v>31</v>
      </c>
      <c r="AD100" s="153"/>
      <c r="AE100" s="153"/>
      <c r="AF100" s="154" t="s">
        <v>83</v>
      </c>
      <c r="AG100" s="100" t="s">
        <v>83</v>
      </c>
      <c r="AH100" s="100" t="s">
        <v>83</v>
      </c>
      <c r="AI100" s="100" t="s">
        <v>83</v>
      </c>
      <c r="AJ100" s="98" t="s">
        <v>84</v>
      </c>
      <c r="AK100" s="98" t="s">
        <v>89</v>
      </c>
      <c r="AL100" s="100" t="s">
        <v>90</v>
      </c>
      <c r="AM100" s="100" t="s">
        <v>34</v>
      </c>
      <c r="AN100" s="98" t="s">
        <v>32</v>
      </c>
      <c r="AO100" s="98" t="s">
        <v>32</v>
      </c>
      <c r="AP100" s="98" t="s">
        <v>35</v>
      </c>
      <c r="AQ100" s="101" t="s">
        <v>36</v>
      </c>
      <c r="AS100" s="97" t="str">
        <f>informatieblad!$A$6</f>
        <v>FL20</v>
      </c>
      <c r="AT100" s="99"/>
      <c r="AU100" s="97" t="str">
        <f>informatieblad!$A$7</f>
        <v>FL30</v>
      </c>
      <c r="AV100" s="66"/>
      <c r="AW100" s="99" t="str">
        <f>informatieblad!$A$8</f>
        <v>FL40</v>
      </c>
      <c r="AX100" s="66"/>
      <c r="AY100" s="97" t="str">
        <f>informatieblad!$A$5</f>
        <v>none</v>
      </c>
      <c r="AZ100" s="264"/>
      <c r="BB100" s="266" t="s">
        <v>17</v>
      </c>
      <c r="BD100" s="266" t="s">
        <v>37</v>
      </c>
      <c r="BF100" s="269" t="s">
        <v>38</v>
      </c>
      <c r="BG100" s="272"/>
      <c r="BH100" s="272">
        <f>informatieblad!$B$3</f>
        <v>0</v>
      </c>
      <c r="BI100" s="272">
        <f>informatieblad!$B$3</f>
        <v>0</v>
      </c>
      <c r="BJ100" s="272">
        <f>informatieblad!$B$4</f>
        <v>0</v>
      </c>
      <c r="BK100" s="264">
        <f>informatieblad!$B$4</f>
        <v>0</v>
      </c>
    </row>
    <row r="101" spans="1:63" ht="15.75" customHeight="1">
      <c r="A101" s="446"/>
      <c r="B101" s="471" t="str">
        <f>IF($B100&gt;0,IF(MAX(B100:C100)&lt;informatieblad!$Q$4,informatieblad!$P$3,IF(MAX(B100:C100)&gt;informatieblad!$R$4,informatieblad!$P$5,informatieblad!$P$4)),"")</f>
        <v/>
      </c>
      <c r="C101" s="472"/>
      <c r="D101" s="471" t="str">
        <f>IF($B100&gt;0,IF(MAX(D100:E100)&lt;informatieblad!$Q$4,informatieblad!$P$3,IF(MAX(D100:E100)&gt;informatieblad!$R$4,informatieblad!$P$5,informatieblad!$P$4)),"")</f>
        <v/>
      </c>
      <c r="E101" s="472"/>
      <c r="F101" s="134" t="str">
        <f>A100&amp;"-"&amp;informatieblad!$B$20&amp;"-"&amp;B100&amp;"-"&amp;C100&amp;"-"&amp;D100&amp;"-"&amp;E100&amp;"-"&amp;F100&amp;"-"&amp;G100&amp;"-"&amp;H100&amp;"-"&amp;I100&amp;"-"&amp;J100&amp;"-"&amp;K100&amp;"-"&amp;B101&amp;"-"&amp;H102</f>
        <v>-RctJ----0-0-0--0-0---Options None</v>
      </c>
      <c r="G101" s="134"/>
      <c r="H101" s="88"/>
      <c r="I101" s="469" t="s">
        <v>82</v>
      </c>
      <c r="J101" s="470"/>
      <c r="K101" s="135" t="str">
        <f>(IF($B100&gt;0,(IF(300&gt;(MAX(AI102,H100))*1.732,300,(MAX(AI102,H100))*1.732)+F100+G100),""))</f>
        <v/>
      </c>
      <c r="L101" s="83"/>
      <c r="V101" s="103">
        <f>A100</f>
        <v>0</v>
      </c>
      <c r="W101" s="104" t="s">
        <v>39</v>
      </c>
      <c r="X101" s="104" t="s">
        <v>39</v>
      </c>
      <c r="Y101" s="104" t="s">
        <v>40</v>
      </c>
      <c r="Z101" s="104" t="s">
        <v>40</v>
      </c>
      <c r="AA101" s="104" t="s">
        <v>40</v>
      </c>
      <c r="AB101" s="105"/>
      <c r="AC101" s="155" t="s">
        <v>27</v>
      </c>
      <c r="AD101" s="155" t="s">
        <v>40</v>
      </c>
      <c r="AE101" s="155" t="s">
        <v>41</v>
      </c>
      <c r="AF101" s="156" t="s">
        <v>91</v>
      </c>
      <c r="AG101" s="104" t="s">
        <v>92</v>
      </c>
      <c r="AH101" s="104"/>
      <c r="AI101" s="136" t="s">
        <v>173</v>
      </c>
      <c r="AK101" s="136" t="s">
        <v>91</v>
      </c>
      <c r="AL101" s="136" t="s">
        <v>92</v>
      </c>
      <c r="AM101" s="107"/>
      <c r="AN101" s="104" t="s">
        <v>40</v>
      </c>
      <c r="AO101" s="104" t="s">
        <v>41</v>
      </c>
      <c r="AP101" s="108"/>
      <c r="AQ101" s="109"/>
      <c r="AS101" s="262" t="str">
        <f>informatieblad!$A$2</f>
        <v>FL20 loose</v>
      </c>
      <c r="AT101" s="263"/>
      <c r="AU101" s="262" t="str">
        <f>informatieblad!$A$3</f>
        <v>FL30 loose</v>
      </c>
      <c r="AV101" s="105"/>
      <c r="AW101" s="263" t="str">
        <f>informatieblad!$A$4</f>
        <v>FL40 loose</v>
      </c>
      <c r="AX101" s="105"/>
      <c r="AY101" s="265"/>
      <c r="AZ101" s="105"/>
      <c r="BB101" s="267"/>
      <c r="BD101" s="267"/>
      <c r="BF101" s="265" t="s">
        <v>47</v>
      </c>
      <c r="BG101" s="106" t="s">
        <v>48</v>
      </c>
      <c r="BH101" s="83" t="s">
        <v>23</v>
      </c>
      <c r="BI101" s="83" t="s">
        <v>23</v>
      </c>
      <c r="BJ101" s="83" t="s">
        <v>23</v>
      </c>
      <c r="BK101" s="273" t="s">
        <v>23</v>
      </c>
    </row>
    <row r="102" spans="1:63" ht="15.75" customHeight="1" thickBot="1">
      <c r="A102" s="476"/>
      <c r="B102" s="137" t="s">
        <v>23</v>
      </c>
      <c r="C102" s="157"/>
      <c r="D102" s="139"/>
      <c r="E102" s="140">
        <f>C102*X102</f>
        <v>0</v>
      </c>
      <c r="F102" s="141" t="s">
        <v>24</v>
      </c>
      <c r="G102" s="293"/>
      <c r="H102" s="461" t="s">
        <v>25</v>
      </c>
      <c r="I102" s="473"/>
      <c r="J102" s="473"/>
      <c r="K102" s="474"/>
      <c r="L102" s="176"/>
      <c r="V102" s="111"/>
      <c r="W102" s="112">
        <f>(((2*(C100+D100+H100))*K100)/1000000)</f>
        <v>0</v>
      </c>
      <c r="X102" s="112">
        <f>((IF(W102&lt;=informatieblad!$I$20,informatieblad!$I$20,IF(W102&gt;=informatieblad!$I$20,W102))))</f>
        <v>0.5</v>
      </c>
      <c r="Y102" s="158">
        <f>ROUND((((2*(C100+D100+H100))*K100)/1000000),2)</f>
        <v>0</v>
      </c>
      <c r="Z102" s="158">
        <f>((IF(Y102&lt;=informatieblad!$H$13,informatieblad!$H$13,IF(Y102&gt;=informatieblad!$H$13,Y102))))</f>
        <v>0</v>
      </c>
      <c r="AA102" s="113">
        <f>((Z102*AN102)+(Z102*AD102))*C102</f>
        <v>0</v>
      </c>
      <c r="AB102" s="114">
        <f>((X102*AO102)+(X102*AE102))*C102</f>
        <v>0</v>
      </c>
      <c r="AC102" s="115" t="str">
        <f>H102</f>
        <v>Options None</v>
      </c>
      <c r="AD102" s="115">
        <f>VLOOKUP(H102,informatieblad!$A$37:$D$41,2,FALSE)</f>
        <v>0</v>
      </c>
      <c r="AE102" s="115">
        <f>VLOOKUP(H102,informatieblad!$A$37:$D$41,4,FALSE)</f>
        <v>0</v>
      </c>
      <c r="AF102" s="159">
        <f>(MAX(B100,D100))</f>
        <v>0</v>
      </c>
      <c r="AG102" s="160">
        <f>(MAX(C100,E100))</f>
        <v>0</v>
      </c>
      <c r="AH102" s="160">
        <f>(MAX(A100:E100))</f>
        <v>0</v>
      </c>
      <c r="AI102" s="295">
        <f>(D100+H100)-B100</f>
        <v>0</v>
      </c>
      <c r="AJ102" s="161">
        <f>(MAX(AL102,AK102))</f>
        <v>0</v>
      </c>
      <c r="AK102" s="162">
        <f>ROUND((SQRT((((MAX(F100,H100))^2)+(K100^2)))),0)</f>
        <v>0</v>
      </c>
      <c r="AL102" s="163">
        <f>ROUND((SQRT((((MAX(I100,J100))^2)+(K100^2)))),0)</f>
        <v>0</v>
      </c>
      <c r="AM102" s="119">
        <f>LOOKUP(AH102,informatieblad!$C$27:$C$32,informatieblad!$A$27:$A$32)</f>
        <v>0.5</v>
      </c>
      <c r="AN102" s="118">
        <f>VLOOKUP(AM102,informatieblad!$A$27:$M$32,6,FALSE)</f>
        <v>0</v>
      </c>
      <c r="AO102" s="118">
        <f>VLOOKUP(AM102,informatieblad!$A$27:$M$32,8,FALSE)</f>
        <v>45.1248</v>
      </c>
      <c r="AP102" s="120"/>
      <c r="AQ102" s="121">
        <f>ROUND((AP187*Z102),1)</f>
        <v>0</v>
      </c>
      <c r="AS102" s="111">
        <f>(IF(B101=AS100,((2*B100)+(2*C100)),IF(B101=AS101,((2*B100)+(2*C100)),0)))*C102</f>
        <v>0</v>
      </c>
      <c r="AT102" s="261">
        <f>(IF(D101=AS100,((2*D100)+(2*E100)),IF(D101=AS101,((2*D100)+(2*E100)),0)))*C102</f>
        <v>0</v>
      </c>
      <c r="AU102" s="111">
        <f>(IF(D101=AU100,((2*B100)+(2*C100)),IF(D101=AU101,((2*B100)+(2*C100)),0)))*C102</f>
        <v>0</v>
      </c>
      <c r="AV102" s="260">
        <f>(IF(D101=AU100,((2*D100)+(2*E100)),IF(D101=AU101,((2*D100)+(2*E100)),0)))*C102</f>
        <v>0</v>
      </c>
      <c r="AW102" s="261">
        <f>(IF(B101=AW100,((2*B100)+(2*C100)),IF(B101=AW101,((2*B100)+(2*C100)),0)))*C102</f>
        <v>0</v>
      </c>
      <c r="AX102" s="260">
        <f>(IF(D101=AW100,((2*D100)+(2*E100)),IF(D101=AW101,((2*D100)+(2*E100)),0)))*C102</f>
        <v>0</v>
      </c>
      <c r="AY102" s="111">
        <f>(IF(B101=AY100,((2*B100)+(2*C100)),0))*C102</f>
        <v>0</v>
      </c>
      <c r="AZ102" s="260">
        <f>(IF(D101=AY100,((2*D100)+(2*E100)),0))*C102</f>
        <v>0</v>
      </c>
      <c r="BB102" s="268">
        <f>K100*C102</f>
        <v>0</v>
      </c>
      <c r="BD102" s="268">
        <f>(AF102+100)*C102</f>
        <v>0</v>
      </c>
      <c r="BF102" s="111" t="str">
        <f>IF(B101=informatieblad!$A$6,informatieblad!$B$6,IF(B101=informatieblad!$A$7,informatieblad!$B$7,IF(B101=informatieblad!$A$8,informatieblad!$B$8,IF(B101=informatieblad!$A$2,informatieblad!$B$2,IF(B101=informatieblad!$A$3,informatieblad!$B$3,IF(B101=informatieblad!$A$4,informatieblad!$B$4,IF(B101=informatieblad!$A$5,informatieblad!$B$5,"")))))))</f>
        <v/>
      </c>
      <c r="BG102" s="275" t="str">
        <f>IF(D101=informatieblad!$A$6,informatieblad!$B$6,IF(D101=informatieblad!$A$7,informatieblad!$B$7,IF(D101=informatieblad!$A$8,informatieblad!$B$8,IF(D101=informatieblad!$A$2,informatieblad!$B$2,IF(D101=informatieblad!$A$3,informatieblad!$B$3,IF(D101=informatieblad!$A$4,informatieblad!$B$4,IF(D101=informatieblad!$A$5,informatieblad!$B$5,"")))))))</f>
        <v/>
      </c>
      <c r="BH102" s="276">
        <f>IF(BF102=BH100,(4*C102),0)</f>
        <v>0</v>
      </c>
      <c r="BI102" s="276">
        <f>IF(BG102=BH100,(4*C102),0)</f>
        <v>0</v>
      </c>
      <c r="BJ102" s="276">
        <f>IF(BF102=BJ100,(4*C102),0)</f>
        <v>0</v>
      </c>
      <c r="BK102" s="274">
        <f>IF(BG102=BJ100,(4*C102),0)</f>
        <v>0</v>
      </c>
    </row>
    <row r="103" spans="1:63" ht="5.0999999999999996" customHeight="1" thickBot="1">
      <c r="A103" s="145"/>
      <c r="B103" s="122"/>
      <c r="C103" s="122"/>
      <c r="D103" s="122"/>
      <c r="E103" s="122"/>
      <c r="F103" s="122"/>
      <c r="G103" s="122"/>
      <c r="H103" s="122"/>
      <c r="I103" s="122"/>
      <c r="J103" s="122"/>
      <c r="K103" s="146"/>
    </row>
    <row r="104" spans="1:63" ht="15.75" customHeight="1" thickBot="1">
      <c r="A104" s="445"/>
      <c r="B104" s="147"/>
      <c r="C104" s="147"/>
      <c r="D104" s="147"/>
      <c r="E104" s="147">
        <f>C104</f>
        <v>0</v>
      </c>
      <c r="F104" s="147">
        <f>(B104&gt;0)*$K$7</f>
        <v>0</v>
      </c>
      <c r="G104" s="147">
        <f>(B104&gt;0)*$K$8</f>
        <v>0</v>
      </c>
      <c r="H104" s="147"/>
      <c r="I104" s="149">
        <f>(C104-E104)/2</f>
        <v>0</v>
      </c>
      <c r="J104" s="150">
        <f>(C104-E104)-I104</f>
        <v>0</v>
      </c>
      <c r="K104" s="151"/>
      <c r="L104" s="345" t="s">
        <v>20</v>
      </c>
      <c r="M104" s="152"/>
      <c r="V104" s="97" t="s">
        <v>14</v>
      </c>
      <c r="W104" s="98" t="s">
        <v>27</v>
      </c>
      <c r="X104" s="98" t="s">
        <v>28</v>
      </c>
      <c r="Y104" s="98" t="s">
        <v>27</v>
      </c>
      <c r="Z104" s="98" t="s">
        <v>28</v>
      </c>
      <c r="AA104" s="98" t="s">
        <v>29</v>
      </c>
      <c r="AB104" s="66" t="s">
        <v>30</v>
      </c>
      <c r="AC104" s="153" t="s">
        <v>31</v>
      </c>
      <c r="AD104" s="153"/>
      <c r="AE104" s="153"/>
      <c r="AF104" s="154" t="s">
        <v>83</v>
      </c>
      <c r="AG104" s="100" t="s">
        <v>83</v>
      </c>
      <c r="AH104" s="100" t="s">
        <v>83</v>
      </c>
      <c r="AI104" s="100" t="s">
        <v>83</v>
      </c>
      <c r="AJ104" s="98" t="s">
        <v>84</v>
      </c>
      <c r="AK104" s="98" t="s">
        <v>93</v>
      </c>
      <c r="AL104" s="100" t="s">
        <v>94</v>
      </c>
      <c r="AM104" s="100" t="s">
        <v>34</v>
      </c>
      <c r="AN104" s="98" t="s">
        <v>32</v>
      </c>
      <c r="AO104" s="98" t="s">
        <v>32</v>
      </c>
      <c r="AP104" s="98" t="s">
        <v>49</v>
      </c>
      <c r="AQ104" s="101" t="s">
        <v>36</v>
      </c>
      <c r="AS104" s="97" t="str">
        <f>informatieblad!$A$6</f>
        <v>FL20</v>
      </c>
      <c r="AT104" s="99"/>
      <c r="AU104" s="97" t="str">
        <f>informatieblad!$A$7</f>
        <v>FL30</v>
      </c>
      <c r="AV104" s="66"/>
      <c r="AW104" s="99" t="str">
        <f>informatieblad!$A$8</f>
        <v>FL40</v>
      </c>
      <c r="AX104" s="66"/>
      <c r="AY104" s="97" t="str">
        <f>informatieblad!$A$5</f>
        <v>none</v>
      </c>
      <c r="AZ104" s="264"/>
      <c r="BB104" s="266" t="s">
        <v>17</v>
      </c>
      <c r="BD104" s="266" t="s">
        <v>37</v>
      </c>
      <c r="BF104" s="269" t="s">
        <v>38</v>
      </c>
      <c r="BG104" s="272"/>
      <c r="BH104" s="272">
        <f>informatieblad!$B$3</f>
        <v>0</v>
      </c>
      <c r="BI104" s="272">
        <f>informatieblad!$B$3</f>
        <v>0</v>
      </c>
      <c r="BJ104" s="272">
        <f>informatieblad!$B$4</f>
        <v>0</v>
      </c>
      <c r="BK104" s="264">
        <f>informatieblad!$B$4</f>
        <v>0</v>
      </c>
    </row>
    <row r="105" spans="1:63" ht="15.75" customHeight="1">
      <c r="A105" s="467"/>
      <c r="B105" s="471" t="str">
        <f>IF($B104&gt;0,IF(MAX(B104:C104)&lt;informatieblad!$Q$4,informatieblad!$P$3,IF(MAX(B104:C104)&gt;informatieblad!$R$4,informatieblad!$P$5,informatieblad!$P$4)),"")</f>
        <v/>
      </c>
      <c r="C105" s="472"/>
      <c r="D105" s="471" t="str">
        <f>IF($B104&gt;0,IF(MAX(D104:E104)&lt;informatieblad!$Q$4,informatieblad!$P$3,IF(MAX(D104:E104)&gt;informatieblad!$R$4,informatieblad!$P$5,informatieblad!$P$4)),"")</f>
        <v/>
      </c>
      <c r="E105" s="472"/>
      <c r="F105" s="134" t="str">
        <f>A104&amp;"-"&amp;informatieblad!$B$20&amp;"-"&amp;B104&amp;"-"&amp;C104&amp;"-"&amp;D104&amp;"-"&amp;E104&amp;"-"&amp;F104&amp;"-"&amp;G104&amp;"-"&amp;H104&amp;"-"&amp;I104&amp;"-"&amp;J104&amp;"-"&amp;K104&amp;"-"&amp;B105&amp;"-"&amp;H106</f>
        <v>-RctJ----0-0-0--0-0---Options None</v>
      </c>
      <c r="G105" s="134"/>
      <c r="H105" s="88"/>
      <c r="I105" s="469" t="s">
        <v>82</v>
      </c>
      <c r="J105" s="470"/>
      <c r="K105" s="135" t="str">
        <f>(IF($B104&gt;0,(IF(300&gt;(MAX(AI106,H104))*1.732,300,(MAX(AI106,H104))*1.732)+F104+G104),""))</f>
        <v/>
      </c>
      <c r="L105" s="83"/>
      <c r="V105" s="103">
        <f>A104</f>
        <v>0</v>
      </c>
      <c r="W105" s="104" t="s">
        <v>39</v>
      </c>
      <c r="X105" s="104" t="s">
        <v>39</v>
      </c>
      <c r="Y105" s="104" t="s">
        <v>40</v>
      </c>
      <c r="Z105" s="104" t="s">
        <v>40</v>
      </c>
      <c r="AA105" s="104" t="s">
        <v>40</v>
      </c>
      <c r="AB105" s="105"/>
      <c r="AC105" s="155" t="s">
        <v>27</v>
      </c>
      <c r="AD105" s="155" t="s">
        <v>40</v>
      </c>
      <c r="AE105" s="155" t="s">
        <v>41</v>
      </c>
      <c r="AF105" s="156" t="s">
        <v>95</v>
      </c>
      <c r="AG105" s="104" t="s">
        <v>96</v>
      </c>
      <c r="AH105" s="104"/>
      <c r="AI105" s="136" t="s">
        <v>174</v>
      </c>
      <c r="AK105" s="136" t="s">
        <v>95</v>
      </c>
      <c r="AL105" s="136" t="s">
        <v>96</v>
      </c>
      <c r="AM105" s="107"/>
      <c r="AN105" s="104" t="s">
        <v>40</v>
      </c>
      <c r="AO105" s="104" t="s">
        <v>41</v>
      </c>
      <c r="AP105" s="108"/>
      <c r="AQ105" s="109"/>
      <c r="AS105" s="262" t="str">
        <f>informatieblad!$A$2</f>
        <v>FL20 loose</v>
      </c>
      <c r="AT105" s="263"/>
      <c r="AU105" s="262" t="str">
        <f>informatieblad!$A$3</f>
        <v>FL30 loose</v>
      </c>
      <c r="AV105" s="105"/>
      <c r="AW105" s="263" t="str">
        <f>informatieblad!$A$4</f>
        <v>FL40 loose</v>
      </c>
      <c r="AX105" s="105"/>
      <c r="AY105" s="265"/>
      <c r="AZ105" s="105"/>
      <c r="BB105" s="267"/>
      <c r="BD105" s="267"/>
      <c r="BF105" s="265" t="s">
        <v>47</v>
      </c>
      <c r="BG105" s="106" t="s">
        <v>48</v>
      </c>
      <c r="BH105" s="83" t="s">
        <v>23</v>
      </c>
      <c r="BI105" s="83" t="s">
        <v>23</v>
      </c>
      <c r="BJ105" s="83" t="s">
        <v>23</v>
      </c>
      <c r="BK105" s="273" t="s">
        <v>23</v>
      </c>
    </row>
    <row r="106" spans="1:63" ht="15.75" customHeight="1" thickBot="1">
      <c r="A106" s="468"/>
      <c r="B106" s="137" t="s">
        <v>23</v>
      </c>
      <c r="C106" s="157"/>
      <c r="D106" s="139"/>
      <c r="E106" s="140">
        <f>C106*X106</f>
        <v>0</v>
      </c>
      <c r="F106" s="141" t="s">
        <v>24</v>
      </c>
      <c r="G106" s="293"/>
      <c r="H106" s="461" t="s">
        <v>25</v>
      </c>
      <c r="I106" s="473"/>
      <c r="J106" s="473"/>
      <c r="K106" s="474"/>
      <c r="L106" s="176"/>
      <c r="Q106" s="152"/>
      <c r="V106" s="111"/>
      <c r="W106" s="112">
        <f>(((2*(C104+D104+H104))*K104)/1000000)</f>
        <v>0</v>
      </c>
      <c r="X106" s="112">
        <f>((IF(W106&lt;=informatieblad!$I$20,informatieblad!$I$20,IF(W106&gt;=informatieblad!$I$20,W106))))</f>
        <v>0.5</v>
      </c>
      <c r="Y106" s="158">
        <f>ROUND((((2*(C104+D104+H104))*K104)/1000000),2)</f>
        <v>0</v>
      </c>
      <c r="Z106" s="112">
        <f>((IF(Y106&lt;=informatieblad!$H$13,informatieblad!$H$13,IF(Y106&gt;=informatieblad!$H$13,Y106))))</f>
        <v>0</v>
      </c>
      <c r="AA106" s="113">
        <f>((Z106*AN106)+(Z106*AD106))*C106</f>
        <v>0</v>
      </c>
      <c r="AB106" s="114">
        <f>((X106*AO106)+(X106*AE106))*C106</f>
        <v>0</v>
      </c>
      <c r="AC106" s="115" t="str">
        <f>H106</f>
        <v>Options None</v>
      </c>
      <c r="AD106" s="115">
        <f>VLOOKUP(H106,informatieblad!$A$37:$D$41,2,FALSE)</f>
        <v>0</v>
      </c>
      <c r="AE106" s="115">
        <f>VLOOKUP(H106,informatieblad!$A$37:$D$41,4,FALSE)</f>
        <v>0</v>
      </c>
      <c r="AF106" s="159">
        <f>(MAX(B104,D104))</f>
        <v>0</v>
      </c>
      <c r="AG106" s="160">
        <f>(MAX(C104,E104))</f>
        <v>0</v>
      </c>
      <c r="AH106" s="160">
        <f>(MAX(A104:E104))</f>
        <v>0</v>
      </c>
      <c r="AI106" s="295">
        <f>(D104+H104)-B104</f>
        <v>0</v>
      </c>
      <c r="AJ106" s="161">
        <f>(MAX(AL106,AK106))</f>
        <v>0</v>
      </c>
      <c r="AK106" s="162">
        <f>ROUND((SQRT((((MAX(F104,H104))^2)+(K104^2)))),0)</f>
        <v>0</v>
      </c>
      <c r="AL106" s="163">
        <f>ROUND((SQRT((((MAX(I104,J104))^2)+(K104^2)))),0)</f>
        <v>0</v>
      </c>
      <c r="AM106" s="119">
        <f>LOOKUP(AH106,informatieblad!$C$27:$C$32,informatieblad!$A$27:$A$32)</f>
        <v>0.5</v>
      </c>
      <c r="AN106" s="118">
        <f>VLOOKUP(AM106,informatieblad!$A$27:$M$32,6,FALSE)</f>
        <v>0</v>
      </c>
      <c r="AO106" s="118">
        <f>VLOOKUP(AM106,informatieblad!$A$27:$M$32,8,FALSE)</f>
        <v>45.1248</v>
      </c>
      <c r="AQ106" s="121">
        <f>ROUND((AP107*Z106),1)</f>
        <v>0</v>
      </c>
      <c r="AS106" s="111">
        <f>(IF(B105=AS104,((2*B104)+(2*C104)),IF(B105=AS105,((2*B104)+(2*C104)),0)))*C106</f>
        <v>0</v>
      </c>
      <c r="AT106" s="261">
        <f>(IF(D105=AS104,((2*D104)+(2*E104)),IF(D105=AS105,((2*D104)+(2*E104)),0)))*C106</f>
        <v>0</v>
      </c>
      <c r="AU106" s="111">
        <f>(IF(D105=AU104,((2*B104)+(2*C104)),IF(D105=AU105,((2*B104)+(2*C104)),0)))*C106</f>
        <v>0</v>
      </c>
      <c r="AV106" s="260">
        <f>(IF(D105=AU104,((2*D104)+(2*E104)),IF(D105=AU105,((2*D104)+(2*E104)),0)))*C106</f>
        <v>0</v>
      </c>
      <c r="AW106" s="261">
        <f>(IF(B105=AW104,((2*B104)+(2*C104)),IF(B105=AW105,((2*B104)+(2*C104)),0)))*C106</f>
        <v>0</v>
      </c>
      <c r="AX106" s="260">
        <f>(IF(D105=AW104,((2*D104)+(2*E104)),IF(D105=AW105,((2*D104)+(2*E104)),0)))*C106</f>
        <v>0</v>
      </c>
      <c r="AY106" s="111">
        <f>(IF(B105=AY104,((2*B104)+(2*C104)),0))*C106</f>
        <v>0</v>
      </c>
      <c r="AZ106" s="260">
        <f>(IF(D105=AY104,((2*D104)+(2*E104)),0))*C106</f>
        <v>0</v>
      </c>
      <c r="BB106" s="268">
        <f>K104*C106</f>
        <v>0</v>
      </c>
      <c r="BD106" s="268">
        <f>(AF106+100)*C106</f>
        <v>0</v>
      </c>
      <c r="BF106" s="111" t="str">
        <f>IF(B105=informatieblad!$A$6,informatieblad!$B$6,IF(B105=informatieblad!$A$7,informatieblad!$B$7,IF(B105=informatieblad!$A$8,informatieblad!$B$8,IF(B105=informatieblad!$A$2,informatieblad!$B$2,IF(B105=informatieblad!$A$3,informatieblad!$B$3,IF(B105=informatieblad!$A$4,informatieblad!$B$4,IF(B105=informatieblad!$A$5,informatieblad!$B$5,"")))))))</f>
        <v/>
      </c>
      <c r="BG106" s="275" t="str">
        <f>IF(D105=informatieblad!$A$6,informatieblad!$B$6,IF(D105=informatieblad!$A$7,informatieblad!$B$7,IF(D105=informatieblad!$A$8,informatieblad!$B$8,IF(D105=informatieblad!$A$2,informatieblad!$B$2,IF(D105=informatieblad!$A$3,informatieblad!$B$3,IF(D105=informatieblad!$A$4,informatieblad!$B$4,IF(D105=informatieblad!$A$5,informatieblad!$B$5,"")))))))</f>
        <v/>
      </c>
      <c r="BH106" s="276">
        <f>IF(BF106=BH104,(4*C106),0)</f>
        <v>0</v>
      </c>
      <c r="BI106" s="276">
        <f>IF(BG106=BH104,(4*C106),0)</f>
        <v>0</v>
      </c>
      <c r="BJ106" s="276">
        <f>IF(BF106=BJ104,(4*C106),0)</f>
        <v>0</v>
      </c>
      <c r="BK106" s="274">
        <f>IF(BG106=BJ104,(4*C106),0)</f>
        <v>0</v>
      </c>
    </row>
    <row r="107" spans="1:63" ht="5.0999999999999996" customHeight="1" thickBot="1">
      <c r="A107" s="145"/>
      <c r="B107" s="122"/>
      <c r="C107" s="122"/>
      <c r="D107" s="122"/>
      <c r="E107" s="122"/>
      <c r="F107" s="122"/>
      <c r="G107" s="122"/>
      <c r="H107" s="122"/>
      <c r="I107" s="122"/>
      <c r="J107" s="122"/>
      <c r="K107" s="146"/>
      <c r="AP107" s="120">
        <f>VLOOKUP(AM106,informatieblad!$A$27:$M$32,13,FALSE)</f>
        <v>4</v>
      </c>
    </row>
    <row r="108" spans="1:63" ht="15.75" customHeight="1" thickBot="1">
      <c r="A108" s="445"/>
      <c r="B108" s="147"/>
      <c r="C108" s="147"/>
      <c r="D108" s="147"/>
      <c r="E108" s="147">
        <f>C108</f>
        <v>0</v>
      </c>
      <c r="F108" s="147">
        <f>(B108&gt;0)*$K$7</f>
        <v>0</v>
      </c>
      <c r="G108" s="147">
        <f>(B108&gt;0)*$K$8</f>
        <v>0</v>
      </c>
      <c r="H108" s="147"/>
      <c r="I108" s="149">
        <f>(C108-E108)/2</f>
        <v>0</v>
      </c>
      <c r="J108" s="150">
        <f>(C108-E108)-I108</f>
        <v>0</v>
      </c>
      <c r="K108" s="151"/>
      <c r="L108" s="345" t="s">
        <v>20</v>
      </c>
      <c r="V108" s="97" t="s">
        <v>14</v>
      </c>
      <c r="W108" s="98" t="s">
        <v>27</v>
      </c>
      <c r="X108" s="98" t="s">
        <v>28</v>
      </c>
      <c r="Y108" s="98" t="s">
        <v>27</v>
      </c>
      <c r="Z108" s="98" t="s">
        <v>28</v>
      </c>
      <c r="AA108" s="98" t="s">
        <v>29</v>
      </c>
      <c r="AB108" s="66" t="s">
        <v>30</v>
      </c>
      <c r="AC108" s="153" t="s">
        <v>31</v>
      </c>
      <c r="AD108" s="153"/>
      <c r="AE108" s="153"/>
      <c r="AF108" s="154" t="s">
        <v>83</v>
      </c>
      <c r="AG108" s="100" t="s">
        <v>83</v>
      </c>
      <c r="AH108" s="100" t="s">
        <v>83</v>
      </c>
      <c r="AI108" s="100" t="s">
        <v>83</v>
      </c>
      <c r="AJ108" s="98" t="s">
        <v>84</v>
      </c>
      <c r="AK108" s="98" t="s">
        <v>93</v>
      </c>
      <c r="AL108" s="100" t="s">
        <v>94</v>
      </c>
      <c r="AM108" s="100" t="s">
        <v>34</v>
      </c>
      <c r="AN108" s="98" t="s">
        <v>32</v>
      </c>
      <c r="AO108" s="98" t="s">
        <v>32</v>
      </c>
      <c r="AP108" s="98" t="s">
        <v>35</v>
      </c>
      <c r="AQ108" s="101" t="s">
        <v>36</v>
      </c>
      <c r="AS108" s="97" t="str">
        <f>informatieblad!$A$6</f>
        <v>FL20</v>
      </c>
      <c r="AT108" s="99"/>
      <c r="AU108" s="97" t="str">
        <f>informatieblad!$A$7</f>
        <v>FL30</v>
      </c>
      <c r="AV108" s="66"/>
      <c r="AW108" s="99" t="str">
        <f>informatieblad!$A$8</f>
        <v>FL40</v>
      </c>
      <c r="AX108" s="66"/>
      <c r="AY108" s="97" t="str">
        <f>informatieblad!$A$5</f>
        <v>none</v>
      </c>
      <c r="AZ108" s="264"/>
      <c r="BB108" s="266" t="s">
        <v>17</v>
      </c>
      <c r="BD108" s="266" t="s">
        <v>37</v>
      </c>
      <c r="BF108" s="269" t="s">
        <v>38</v>
      </c>
      <c r="BG108" s="272"/>
      <c r="BH108" s="272">
        <f>informatieblad!$B$3</f>
        <v>0</v>
      </c>
      <c r="BI108" s="272">
        <f>informatieblad!$B$3</f>
        <v>0</v>
      </c>
      <c r="BJ108" s="272">
        <f>informatieblad!$B$4</f>
        <v>0</v>
      </c>
      <c r="BK108" s="264">
        <f>informatieblad!$B$4</f>
        <v>0</v>
      </c>
    </row>
    <row r="109" spans="1:63" ht="15.75" customHeight="1">
      <c r="A109" s="475"/>
      <c r="B109" s="471" t="str">
        <f>IF($B108&gt;0,IF(MAX(B108:C108)&lt;informatieblad!$Q$4,informatieblad!$P$3,IF(MAX(B108:C108)&gt;informatieblad!$R$4,informatieblad!$P$5,informatieblad!$P$4)),"")</f>
        <v/>
      </c>
      <c r="C109" s="472"/>
      <c r="D109" s="471" t="str">
        <f>IF($B108&gt;0,IF(MAX(D108:E108)&lt;informatieblad!$Q$4,informatieblad!$P$3,IF(MAX(D108:E108)&gt;informatieblad!$R$4,informatieblad!$P$5,informatieblad!$P$4)),"")</f>
        <v/>
      </c>
      <c r="E109" s="472"/>
      <c r="F109" s="134" t="str">
        <f>A108&amp;"-"&amp;informatieblad!$B$20&amp;"-"&amp;B108&amp;"-"&amp;C108&amp;"-"&amp;D108&amp;"-"&amp;E108&amp;"-"&amp;F108&amp;"-"&amp;G108&amp;"-"&amp;H108&amp;"-"&amp;I108&amp;"-"&amp;J108&amp;"-"&amp;K108&amp;"-"&amp;B109&amp;"-"&amp;H110</f>
        <v>-RctJ----0-0-0--0-0---Options None</v>
      </c>
      <c r="G109" s="134"/>
      <c r="H109" s="88"/>
      <c r="I109" s="469" t="s">
        <v>82</v>
      </c>
      <c r="J109" s="470"/>
      <c r="K109" s="135" t="str">
        <f>(IF($B108&gt;0,(IF(300&gt;(MAX(AI110,H108))*1.732,300,(MAX(AI110,H108))*1.732)+F108+G108),""))</f>
        <v/>
      </c>
      <c r="L109" s="83"/>
      <c r="V109" s="103">
        <f>A108</f>
        <v>0</v>
      </c>
      <c r="W109" s="104" t="s">
        <v>39</v>
      </c>
      <c r="X109" s="104" t="s">
        <v>39</v>
      </c>
      <c r="Y109" s="104" t="s">
        <v>40</v>
      </c>
      <c r="Z109" s="104" t="s">
        <v>40</v>
      </c>
      <c r="AA109" s="104" t="s">
        <v>40</v>
      </c>
      <c r="AB109" s="105"/>
      <c r="AC109" s="155" t="s">
        <v>27</v>
      </c>
      <c r="AD109" s="155" t="s">
        <v>40</v>
      </c>
      <c r="AE109" s="155" t="s">
        <v>41</v>
      </c>
      <c r="AF109" s="156" t="s">
        <v>95</v>
      </c>
      <c r="AG109" s="104" t="s">
        <v>96</v>
      </c>
      <c r="AH109" s="104"/>
      <c r="AI109" s="136" t="s">
        <v>174</v>
      </c>
      <c r="AK109" s="136" t="s">
        <v>95</v>
      </c>
      <c r="AL109" s="136" t="s">
        <v>96</v>
      </c>
      <c r="AM109" s="107"/>
      <c r="AN109" s="104" t="s">
        <v>40</v>
      </c>
      <c r="AO109" s="104" t="s">
        <v>41</v>
      </c>
      <c r="AP109" s="108"/>
      <c r="AQ109" s="109"/>
      <c r="AS109" s="262" t="str">
        <f>informatieblad!$A$2</f>
        <v>FL20 loose</v>
      </c>
      <c r="AT109" s="263"/>
      <c r="AU109" s="262" t="str">
        <f>informatieblad!$A$3</f>
        <v>FL30 loose</v>
      </c>
      <c r="AV109" s="105"/>
      <c r="AW109" s="263" t="str">
        <f>informatieblad!$A$4</f>
        <v>FL40 loose</v>
      </c>
      <c r="AX109" s="105"/>
      <c r="AY109" s="265"/>
      <c r="AZ109" s="105"/>
      <c r="BB109" s="267"/>
      <c r="BD109" s="267"/>
      <c r="BF109" s="265" t="s">
        <v>47</v>
      </c>
      <c r="BG109" s="106" t="s">
        <v>48</v>
      </c>
      <c r="BH109" s="83" t="s">
        <v>23</v>
      </c>
      <c r="BI109" s="83" t="s">
        <v>23</v>
      </c>
      <c r="BJ109" s="83" t="s">
        <v>23</v>
      </c>
      <c r="BK109" s="273" t="s">
        <v>23</v>
      </c>
    </row>
    <row r="110" spans="1:63" ht="15.75" customHeight="1" thickBot="1">
      <c r="A110" s="476"/>
      <c r="B110" s="137" t="s">
        <v>23</v>
      </c>
      <c r="C110" s="157"/>
      <c r="D110" s="139"/>
      <c r="E110" s="140">
        <f>C110*X110</f>
        <v>0</v>
      </c>
      <c r="F110" s="141" t="s">
        <v>24</v>
      </c>
      <c r="G110" s="293"/>
      <c r="H110" s="461" t="s">
        <v>25</v>
      </c>
      <c r="I110" s="473"/>
      <c r="J110" s="473"/>
      <c r="K110" s="474"/>
      <c r="L110" s="176"/>
      <c r="V110" s="111"/>
      <c r="W110" s="112">
        <f>(((2*(C108+D108+H108))*K108)/1000000)</f>
        <v>0</v>
      </c>
      <c r="X110" s="112">
        <f>((IF(W110&lt;=informatieblad!$I$20,informatieblad!$I$20,IF(W110&gt;=informatieblad!$I$20,W110))))</f>
        <v>0.5</v>
      </c>
      <c r="Y110" s="158">
        <f>ROUND((((2*(C108+D108+H108))*K108)/1000000),2)</f>
        <v>0</v>
      </c>
      <c r="Z110" s="112">
        <f>((IF(Y110&lt;=informatieblad!$H$13,informatieblad!$H$13,IF(Y110&gt;=informatieblad!$H$13,Y110))))</f>
        <v>0</v>
      </c>
      <c r="AA110" s="113">
        <f>((Z110*AN110)+(Z110*AD110))*C110</f>
        <v>0</v>
      </c>
      <c r="AB110" s="114">
        <f>((X110*AO110)+(X110*AE110))*C110</f>
        <v>0</v>
      </c>
      <c r="AC110" s="115" t="str">
        <f>H110</f>
        <v>Options None</v>
      </c>
      <c r="AD110" s="115">
        <f>VLOOKUP(H110,informatieblad!$A$37:$D$41,2,FALSE)</f>
        <v>0</v>
      </c>
      <c r="AE110" s="115">
        <f>VLOOKUP(H110,informatieblad!$A$37:$D$41,4,FALSE)</f>
        <v>0</v>
      </c>
      <c r="AF110" s="159">
        <f>(MAX(B108,D108))</f>
        <v>0</v>
      </c>
      <c r="AG110" s="160">
        <f>(MAX(C108,E108))</f>
        <v>0</v>
      </c>
      <c r="AH110" s="160">
        <f>(MAX(A108:E108))</f>
        <v>0</v>
      </c>
      <c r="AI110" s="295">
        <f>(D108+H108)-B108</f>
        <v>0</v>
      </c>
      <c r="AJ110" s="161">
        <f>(MAX(AL110,AK110))</f>
        <v>0</v>
      </c>
      <c r="AK110" s="162">
        <f>ROUND((SQRT((((MAX(F108,H108))^2)+(K108^2)))),0)</f>
        <v>0</v>
      </c>
      <c r="AL110" s="163">
        <f>ROUND((SQRT((((MAX(I108,J108))^2)+(K108^2)))),0)</f>
        <v>0</v>
      </c>
      <c r="AM110" s="119">
        <f>LOOKUP(AH110,informatieblad!$C$27:$C$32,informatieblad!$A$27:$A$32)</f>
        <v>0.5</v>
      </c>
      <c r="AN110" s="118">
        <f>VLOOKUP(AM110,informatieblad!$A$27:$M$32,6,FALSE)</f>
        <v>0</v>
      </c>
      <c r="AO110" s="118">
        <f>VLOOKUP(AM110,informatieblad!$A$27:$M$32,8,FALSE)</f>
        <v>45.1248</v>
      </c>
      <c r="AP110" s="120"/>
      <c r="AQ110" s="121">
        <f>ROUND((AP111*Z110),1)</f>
        <v>0</v>
      </c>
      <c r="AS110" s="111">
        <f>(IF(B109=AS108,((2*B108)+(2*C108)),IF(B109=AS109,((2*B108)+(2*C108)),0)))*C110</f>
        <v>0</v>
      </c>
      <c r="AT110" s="261">
        <f>(IF(D109=AS108,((2*D108)+(2*E108)),IF(D109=AS109,((2*D108)+(2*E108)),0)))*C110</f>
        <v>0</v>
      </c>
      <c r="AU110" s="111">
        <f>(IF(D109=AU108,((2*B108)+(2*C108)),IF(D109=AU109,((2*B108)+(2*C108)),0)))*C110</f>
        <v>0</v>
      </c>
      <c r="AV110" s="260">
        <f>(IF(D109=AU108,((2*D108)+(2*E108)),IF(D109=AU109,((2*D108)+(2*E108)),0)))*C110</f>
        <v>0</v>
      </c>
      <c r="AW110" s="261">
        <f>(IF(B109=AW108,((2*B108)+(2*C108)),IF(B109=AW109,((2*B108)+(2*C108)),0)))*C110</f>
        <v>0</v>
      </c>
      <c r="AX110" s="260">
        <f>(IF(D109=AW108,((2*D108)+(2*E108)),IF(D109=AW109,((2*D108)+(2*E108)),0)))*C110</f>
        <v>0</v>
      </c>
      <c r="AY110" s="111">
        <f>(IF(B109=AY108,((2*B108)+(2*C108)),0))*C110</f>
        <v>0</v>
      </c>
      <c r="AZ110" s="260">
        <f>(IF(D109=AY108,((2*D108)+(2*E108)),0))*C110</f>
        <v>0</v>
      </c>
      <c r="BB110" s="268">
        <f>K108*C110</f>
        <v>0</v>
      </c>
      <c r="BD110" s="268">
        <f>(AF110+100)*C110</f>
        <v>0</v>
      </c>
      <c r="BF110" s="111" t="str">
        <f>IF(B109=informatieblad!$A$6,informatieblad!$B$6,IF(B109=informatieblad!$A$7,informatieblad!$B$7,IF(B109=informatieblad!$A$8,informatieblad!$B$8,IF(B109=informatieblad!$A$2,informatieblad!$B$2,IF(B109=informatieblad!$A$3,informatieblad!$B$3,IF(B109=informatieblad!$A$4,informatieblad!$B$4,IF(B109=informatieblad!$A$5,informatieblad!$B$5,"")))))))</f>
        <v/>
      </c>
      <c r="BG110" s="275" t="str">
        <f>IF(D109=informatieblad!$A$6,informatieblad!$B$6,IF(D109=informatieblad!$A$7,informatieblad!$B$7,IF(D109=informatieblad!$A$8,informatieblad!$B$8,IF(D109=informatieblad!$A$2,informatieblad!$B$2,IF(D109=informatieblad!$A$3,informatieblad!$B$3,IF(D109=informatieblad!$A$4,informatieblad!$B$4,IF(D109=informatieblad!$A$5,informatieblad!$B$5,"")))))))</f>
        <v/>
      </c>
      <c r="BH110" s="276">
        <f>IF(BF110=BH108,(4*C110),0)</f>
        <v>0</v>
      </c>
      <c r="BI110" s="276">
        <f>IF(BG110=BH108,(4*C110),0)</f>
        <v>0</v>
      </c>
      <c r="BJ110" s="276">
        <f>IF(BF110=BJ108,(4*C110),0)</f>
        <v>0</v>
      </c>
      <c r="BK110" s="274">
        <f>IF(BG110=BJ108,(4*C110),0)</f>
        <v>0</v>
      </c>
    </row>
    <row r="111" spans="1:63" ht="5.0999999999999996" customHeight="1" thickBot="1">
      <c r="A111" s="145"/>
      <c r="B111" s="122"/>
      <c r="C111" s="122"/>
      <c r="D111" s="122"/>
      <c r="E111" s="122"/>
      <c r="F111" s="122"/>
      <c r="G111" s="122"/>
      <c r="H111" s="122"/>
      <c r="I111" s="122"/>
      <c r="J111" s="122"/>
      <c r="K111" s="146"/>
    </row>
    <row r="112" spans="1:63" ht="15.75" customHeight="1" thickBot="1">
      <c r="A112" s="445"/>
      <c r="B112" s="147"/>
      <c r="C112" s="147"/>
      <c r="D112" s="147"/>
      <c r="E112" s="147">
        <f>C112</f>
        <v>0</v>
      </c>
      <c r="F112" s="147">
        <f>(B112&gt;0)*$K$7</f>
        <v>0</v>
      </c>
      <c r="G112" s="147">
        <f>(B112&gt;0)*$K$8</f>
        <v>0</v>
      </c>
      <c r="H112" s="147"/>
      <c r="I112" s="149">
        <f>(C112-E112)/2</f>
        <v>0</v>
      </c>
      <c r="J112" s="150">
        <f>(C112-E112)-I112</f>
        <v>0</v>
      </c>
      <c r="K112" s="151"/>
      <c r="L112" s="345" t="s">
        <v>20</v>
      </c>
      <c r="V112" s="97" t="s">
        <v>14</v>
      </c>
      <c r="W112" s="98" t="s">
        <v>27</v>
      </c>
      <c r="X112" s="98" t="s">
        <v>28</v>
      </c>
      <c r="Y112" s="98" t="s">
        <v>27</v>
      </c>
      <c r="Z112" s="98" t="s">
        <v>28</v>
      </c>
      <c r="AA112" s="98" t="s">
        <v>29</v>
      </c>
      <c r="AB112" s="66" t="s">
        <v>30</v>
      </c>
      <c r="AC112" s="153" t="s">
        <v>31</v>
      </c>
      <c r="AD112" s="153"/>
      <c r="AE112" s="153"/>
      <c r="AF112" s="154" t="s">
        <v>83</v>
      </c>
      <c r="AG112" s="100" t="s">
        <v>83</v>
      </c>
      <c r="AH112" s="100" t="s">
        <v>83</v>
      </c>
      <c r="AI112" s="100" t="s">
        <v>83</v>
      </c>
      <c r="AJ112" s="98" t="s">
        <v>84</v>
      </c>
      <c r="AK112" s="98" t="s">
        <v>93</v>
      </c>
      <c r="AL112" s="100" t="s">
        <v>94</v>
      </c>
      <c r="AM112" s="100" t="s">
        <v>34</v>
      </c>
      <c r="AN112" s="98" t="s">
        <v>32</v>
      </c>
      <c r="AO112" s="98" t="s">
        <v>32</v>
      </c>
      <c r="AP112" s="98" t="s">
        <v>35</v>
      </c>
      <c r="AQ112" s="101" t="s">
        <v>36</v>
      </c>
      <c r="AS112" s="97" t="str">
        <f>informatieblad!$A$6</f>
        <v>FL20</v>
      </c>
      <c r="AT112" s="99"/>
      <c r="AU112" s="97" t="str">
        <f>informatieblad!$A$7</f>
        <v>FL30</v>
      </c>
      <c r="AV112" s="66"/>
      <c r="AW112" s="99" t="str">
        <f>informatieblad!$A$8</f>
        <v>FL40</v>
      </c>
      <c r="AX112" s="66"/>
      <c r="AY112" s="97" t="str">
        <f>informatieblad!$A$5</f>
        <v>none</v>
      </c>
      <c r="AZ112" s="264"/>
      <c r="BB112" s="266" t="s">
        <v>17</v>
      </c>
      <c r="BD112" s="266" t="s">
        <v>37</v>
      </c>
      <c r="BF112" s="269" t="s">
        <v>38</v>
      </c>
      <c r="BG112" s="272"/>
      <c r="BH112" s="272">
        <f>informatieblad!$B$3</f>
        <v>0</v>
      </c>
      <c r="BI112" s="272">
        <f>informatieblad!$B$3</f>
        <v>0</v>
      </c>
      <c r="BJ112" s="272">
        <f>informatieblad!$B$4</f>
        <v>0</v>
      </c>
      <c r="BK112" s="264">
        <f>informatieblad!$B$4</f>
        <v>0</v>
      </c>
    </row>
    <row r="113" spans="1:63" ht="15.75" customHeight="1">
      <c r="A113" s="446"/>
      <c r="B113" s="471" t="str">
        <f>IF($B112&gt;0,IF(MAX(B112:C112)&lt;informatieblad!$Q$4,informatieblad!$P$3,IF(MAX(B112:C112)&gt;informatieblad!$R$4,informatieblad!$P$5,informatieblad!$P$4)),"")</f>
        <v/>
      </c>
      <c r="C113" s="472"/>
      <c r="D113" s="471" t="str">
        <f>IF($B112&gt;0,IF(MAX(D112:E112)&lt;informatieblad!$Q$4,informatieblad!$P$3,IF(MAX(D112:E112)&gt;informatieblad!$R$4,informatieblad!$P$5,informatieblad!$P$4)),"")</f>
        <v/>
      </c>
      <c r="E113" s="472"/>
      <c r="F113" s="134" t="str">
        <f>A112&amp;"-"&amp;informatieblad!$B$20&amp;"-"&amp;B112&amp;"-"&amp;C112&amp;"-"&amp;D112&amp;"-"&amp;E112&amp;"-"&amp;F112&amp;"-"&amp;G112&amp;"-"&amp;H112&amp;"-"&amp;I112&amp;"-"&amp;J112&amp;"-"&amp;K112&amp;"-"&amp;B113&amp;"-"&amp;H114</f>
        <v>-RctJ----0-0-0--0-0---Options None</v>
      </c>
      <c r="G113" s="134"/>
      <c r="H113" s="88"/>
      <c r="I113" s="469" t="s">
        <v>82</v>
      </c>
      <c r="J113" s="470"/>
      <c r="K113" s="135" t="str">
        <f>(IF($B112&gt;0,(IF(300&gt;(MAX(AI114,H112))*1.732,300,(MAX(AI114,H112))*1.732)+F112+G112),""))</f>
        <v/>
      </c>
      <c r="L113" s="83"/>
      <c r="V113" s="103">
        <f>A112</f>
        <v>0</v>
      </c>
      <c r="W113" s="104" t="s">
        <v>39</v>
      </c>
      <c r="X113" s="104" t="s">
        <v>39</v>
      </c>
      <c r="Y113" s="104" t="s">
        <v>40</v>
      </c>
      <c r="Z113" s="104" t="s">
        <v>40</v>
      </c>
      <c r="AA113" s="104" t="s">
        <v>40</v>
      </c>
      <c r="AB113" s="105"/>
      <c r="AC113" s="155" t="s">
        <v>27</v>
      </c>
      <c r="AD113" s="155" t="s">
        <v>40</v>
      </c>
      <c r="AE113" s="155" t="s">
        <v>41</v>
      </c>
      <c r="AF113" s="156" t="s">
        <v>95</v>
      </c>
      <c r="AG113" s="104" t="s">
        <v>96</v>
      </c>
      <c r="AH113" s="104"/>
      <c r="AI113" s="136" t="s">
        <v>174</v>
      </c>
      <c r="AK113" s="136" t="s">
        <v>95</v>
      </c>
      <c r="AL113" s="136" t="s">
        <v>96</v>
      </c>
      <c r="AM113" s="107"/>
      <c r="AN113" s="104" t="s">
        <v>40</v>
      </c>
      <c r="AO113" s="104" t="s">
        <v>41</v>
      </c>
      <c r="AP113" s="108"/>
      <c r="AQ113" s="109"/>
      <c r="AS113" s="262" t="str">
        <f>informatieblad!$A$2</f>
        <v>FL20 loose</v>
      </c>
      <c r="AT113" s="263"/>
      <c r="AU113" s="262" t="str">
        <f>informatieblad!$A$3</f>
        <v>FL30 loose</v>
      </c>
      <c r="AV113" s="105"/>
      <c r="AW113" s="263" t="str">
        <f>informatieblad!$A$4</f>
        <v>FL40 loose</v>
      </c>
      <c r="AX113" s="105"/>
      <c r="AY113" s="265"/>
      <c r="AZ113" s="105"/>
      <c r="BB113" s="267"/>
      <c r="BD113" s="267"/>
      <c r="BF113" s="265" t="s">
        <v>47</v>
      </c>
      <c r="BG113" s="106" t="s">
        <v>48</v>
      </c>
      <c r="BH113" s="83" t="s">
        <v>23</v>
      </c>
      <c r="BI113" s="83" t="s">
        <v>23</v>
      </c>
      <c r="BJ113" s="83" t="s">
        <v>23</v>
      </c>
      <c r="BK113" s="273" t="s">
        <v>23</v>
      </c>
    </row>
    <row r="114" spans="1:63" ht="15.75" customHeight="1" thickBot="1">
      <c r="A114" s="476"/>
      <c r="B114" s="137" t="s">
        <v>23</v>
      </c>
      <c r="C114" s="157"/>
      <c r="D114" s="139"/>
      <c r="E114" s="140">
        <f>C114*X114</f>
        <v>0</v>
      </c>
      <c r="F114" s="141" t="s">
        <v>24</v>
      </c>
      <c r="G114" s="293"/>
      <c r="H114" s="461" t="s">
        <v>25</v>
      </c>
      <c r="I114" s="473"/>
      <c r="J114" s="473"/>
      <c r="K114" s="474"/>
      <c r="L114" s="176"/>
      <c r="V114" s="111"/>
      <c r="W114" s="112">
        <f>(((2*(C112+D112+H112))*K112)/1000000)</f>
        <v>0</v>
      </c>
      <c r="X114" s="112">
        <f>((IF(W114&lt;=informatieblad!$I$20,informatieblad!$I$20,IF(W114&gt;=informatieblad!$I$20,W114))))</f>
        <v>0.5</v>
      </c>
      <c r="Y114" s="158">
        <f>ROUND((((2*(C112+D112+H112))*K112)/1000000),2)</f>
        <v>0</v>
      </c>
      <c r="Z114" s="112">
        <f>((IF(Y114&lt;=informatieblad!$H$13,informatieblad!$H$13,IF(Y114&gt;=informatieblad!$H$13,Y114))))</f>
        <v>0</v>
      </c>
      <c r="AA114" s="113">
        <f>((Z114*AN114)+(Z114*AD114))*C114</f>
        <v>0</v>
      </c>
      <c r="AB114" s="114">
        <f>((X114*AO114)+(X114*AE114))*C114</f>
        <v>0</v>
      </c>
      <c r="AC114" s="115" t="str">
        <f>H114</f>
        <v>Options None</v>
      </c>
      <c r="AD114" s="115">
        <f>VLOOKUP(H114,informatieblad!$A$37:$D$41,2,FALSE)</f>
        <v>0</v>
      </c>
      <c r="AE114" s="115">
        <f>VLOOKUP(H114,informatieblad!$A$37:$D$41,4,FALSE)</f>
        <v>0</v>
      </c>
      <c r="AF114" s="159">
        <f>(MAX(B112,D112))</f>
        <v>0</v>
      </c>
      <c r="AG114" s="160">
        <f>(MAX(C112,E112))</f>
        <v>0</v>
      </c>
      <c r="AH114" s="160">
        <f>(MAX(A112:E112))</f>
        <v>0</v>
      </c>
      <c r="AI114" s="295">
        <f>(D112+H112)-B112</f>
        <v>0</v>
      </c>
      <c r="AJ114" s="161">
        <f>(MAX(AL114,AK114))</f>
        <v>0</v>
      </c>
      <c r="AK114" s="162">
        <f>ROUND((SQRT((((MAX(F112,H112))^2)+(K112^2)))),0)</f>
        <v>0</v>
      </c>
      <c r="AL114" s="163">
        <f>ROUND((SQRT((((MAX(I112,J112))^2)+(K112^2)))),0)</f>
        <v>0</v>
      </c>
      <c r="AM114" s="119">
        <f>LOOKUP(AH114,informatieblad!$C$27:$C$32,informatieblad!$A$27:$A$32)</f>
        <v>0.5</v>
      </c>
      <c r="AN114" s="118">
        <f>VLOOKUP(AM114,informatieblad!$A$27:$M$32,6,FALSE)</f>
        <v>0</v>
      </c>
      <c r="AO114" s="118">
        <f>VLOOKUP(AM114,informatieblad!$A$27:$M$32,8,FALSE)</f>
        <v>45.1248</v>
      </c>
      <c r="AP114" s="120"/>
      <c r="AQ114" s="121">
        <f>ROUND((AP115*Z114),1)</f>
        <v>0</v>
      </c>
      <c r="AS114" s="111">
        <f>(IF(B113=AS112,((2*B112)+(2*C112)),IF(B113=AS113,((2*B112)+(2*C112)),0)))*C114</f>
        <v>0</v>
      </c>
      <c r="AT114" s="261">
        <f>(IF(D113=AS112,((2*D112)+(2*E112)),IF(D113=AS113,((2*D112)+(2*E112)),0)))*C114</f>
        <v>0</v>
      </c>
      <c r="AU114" s="111">
        <f>(IF(D113=AU112,((2*B112)+(2*C112)),IF(D113=AU113,((2*B112)+(2*C112)),0)))*C114</f>
        <v>0</v>
      </c>
      <c r="AV114" s="260">
        <f>(IF(D113=AU112,((2*D112)+(2*E112)),IF(D113=AU113,((2*D112)+(2*E112)),0)))*C114</f>
        <v>0</v>
      </c>
      <c r="AW114" s="261">
        <f>(IF(B113=AW112,((2*B112)+(2*C112)),IF(B113=AW113,((2*B112)+(2*C112)),0)))*C114</f>
        <v>0</v>
      </c>
      <c r="AX114" s="260">
        <f>(IF(D113=AW112,((2*D112)+(2*E112)),IF(D113=AW113,((2*D112)+(2*E112)),0)))*C114</f>
        <v>0</v>
      </c>
      <c r="AY114" s="111">
        <f>(IF(B113=AY112,((2*B112)+(2*C112)),0))*C114</f>
        <v>0</v>
      </c>
      <c r="AZ114" s="260">
        <f>(IF(D113=AY112,((2*D112)+(2*E112)),0))*C114</f>
        <v>0</v>
      </c>
      <c r="BB114" s="268">
        <f>K112*C114</f>
        <v>0</v>
      </c>
      <c r="BD114" s="268">
        <f>(AF114+100)*C114</f>
        <v>0</v>
      </c>
      <c r="BF114" s="111" t="str">
        <f>IF(B113=informatieblad!$A$6,informatieblad!$B$6,IF(B113=informatieblad!$A$7,informatieblad!$B$7,IF(B113=informatieblad!$A$8,informatieblad!$B$8,IF(B113=informatieblad!$A$2,informatieblad!$B$2,IF(B113=informatieblad!$A$3,informatieblad!$B$3,IF(B113=informatieblad!$A$4,informatieblad!$B$4,IF(B113=informatieblad!$A$5,informatieblad!$B$5,"")))))))</f>
        <v/>
      </c>
      <c r="BG114" s="275" t="str">
        <f>IF(D113=informatieblad!$A$6,informatieblad!$B$6,IF(D113=informatieblad!$A$7,informatieblad!$B$7,IF(D113=informatieblad!$A$8,informatieblad!$B$8,IF(D113=informatieblad!$A$2,informatieblad!$B$2,IF(D113=informatieblad!$A$3,informatieblad!$B$3,IF(D113=informatieblad!$A$4,informatieblad!$B$4,IF(D113=informatieblad!$A$5,informatieblad!$B$5,"")))))))</f>
        <v/>
      </c>
      <c r="BH114" s="276">
        <f>IF(BF114=BH112,(4*C114),0)</f>
        <v>0</v>
      </c>
      <c r="BI114" s="276">
        <f>IF(BG114=BH112,(4*C114),0)</f>
        <v>0</v>
      </c>
      <c r="BJ114" s="276">
        <f>IF(BF114=BJ112,(4*C114),0)</f>
        <v>0</v>
      </c>
      <c r="BK114" s="274">
        <f>IF(BG114=BJ112,(4*C114),0)</f>
        <v>0</v>
      </c>
    </row>
    <row r="115" spans="1:63" ht="5.0999999999999996" customHeight="1" thickBot="1">
      <c r="A115" s="145"/>
      <c r="B115" s="122"/>
      <c r="C115" s="122"/>
      <c r="D115" s="122"/>
      <c r="E115" s="122"/>
      <c r="F115" s="122"/>
      <c r="G115" s="122"/>
      <c r="H115" s="122"/>
      <c r="I115" s="122"/>
      <c r="J115" s="122"/>
      <c r="K115" s="146"/>
    </row>
    <row r="116" spans="1:63" ht="15.75" customHeight="1" thickBot="1">
      <c r="A116" s="445"/>
      <c r="B116" s="147"/>
      <c r="C116" s="147"/>
      <c r="D116" s="147"/>
      <c r="E116" s="147">
        <f>C116</f>
        <v>0</v>
      </c>
      <c r="F116" s="147">
        <f>(B116&gt;0)*$K$7</f>
        <v>0</v>
      </c>
      <c r="G116" s="147">
        <f>(B116&gt;0)*$K$8</f>
        <v>0</v>
      </c>
      <c r="H116" s="147"/>
      <c r="I116" s="149">
        <f>(C116-E116)/2</f>
        <v>0</v>
      </c>
      <c r="J116" s="150">
        <f>(C116-E116)-I116</f>
        <v>0</v>
      </c>
      <c r="K116" s="151"/>
      <c r="L116" s="345" t="s">
        <v>20</v>
      </c>
      <c r="V116" s="97" t="s">
        <v>14</v>
      </c>
      <c r="W116" s="98" t="s">
        <v>27</v>
      </c>
      <c r="X116" s="98" t="s">
        <v>28</v>
      </c>
      <c r="Y116" s="98" t="s">
        <v>27</v>
      </c>
      <c r="Z116" s="98" t="s">
        <v>28</v>
      </c>
      <c r="AA116" s="98" t="s">
        <v>29</v>
      </c>
      <c r="AB116" s="66" t="s">
        <v>30</v>
      </c>
      <c r="AC116" s="153" t="s">
        <v>31</v>
      </c>
      <c r="AD116" s="153"/>
      <c r="AE116" s="153"/>
      <c r="AF116" s="154" t="s">
        <v>83</v>
      </c>
      <c r="AG116" s="100" t="s">
        <v>83</v>
      </c>
      <c r="AH116" s="100" t="s">
        <v>83</v>
      </c>
      <c r="AI116" s="100" t="s">
        <v>83</v>
      </c>
      <c r="AJ116" s="98" t="s">
        <v>84</v>
      </c>
      <c r="AK116" s="98" t="s">
        <v>93</v>
      </c>
      <c r="AL116" s="100" t="s">
        <v>94</v>
      </c>
      <c r="AM116" s="100" t="s">
        <v>34</v>
      </c>
      <c r="AN116" s="98" t="s">
        <v>32</v>
      </c>
      <c r="AO116" s="98" t="s">
        <v>32</v>
      </c>
      <c r="AP116" s="98" t="s">
        <v>35</v>
      </c>
      <c r="AQ116" s="101" t="s">
        <v>36</v>
      </c>
      <c r="AS116" s="97" t="str">
        <f>informatieblad!$A$6</f>
        <v>FL20</v>
      </c>
      <c r="AT116" s="99"/>
      <c r="AU116" s="97" t="str">
        <f>informatieblad!$A$7</f>
        <v>FL30</v>
      </c>
      <c r="AV116" s="66"/>
      <c r="AW116" s="99" t="str">
        <f>informatieblad!$A$8</f>
        <v>FL40</v>
      </c>
      <c r="AX116" s="66"/>
      <c r="AY116" s="97" t="str">
        <f>informatieblad!$A$5</f>
        <v>none</v>
      </c>
      <c r="AZ116" s="264"/>
      <c r="BB116" s="266" t="s">
        <v>17</v>
      </c>
      <c r="BD116" s="266" t="s">
        <v>37</v>
      </c>
      <c r="BF116" s="269" t="s">
        <v>38</v>
      </c>
      <c r="BG116" s="272"/>
      <c r="BH116" s="272">
        <f>informatieblad!$B$3</f>
        <v>0</v>
      </c>
      <c r="BI116" s="272">
        <f>informatieblad!$B$3</f>
        <v>0</v>
      </c>
      <c r="BJ116" s="272">
        <f>informatieblad!$B$4</f>
        <v>0</v>
      </c>
      <c r="BK116" s="264">
        <f>informatieblad!$B$4</f>
        <v>0</v>
      </c>
    </row>
    <row r="117" spans="1:63" ht="15.75" customHeight="1">
      <c r="A117" s="446"/>
      <c r="B117" s="471" t="str">
        <f>IF($B116&gt;0,IF(MAX(B116:C116)&lt;informatieblad!$Q$4,informatieblad!$P$3,IF(MAX(B116:C116)&gt;informatieblad!$R$4,informatieblad!$P$5,informatieblad!$P$4)),"")</f>
        <v/>
      </c>
      <c r="C117" s="472"/>
      <c r="D117" s="471" t="str">
        <f>IF($B116&gt;0,IF(MAX(D116:E116)&lt;informatieblad!$Q$4,informatieblad!$P$3,IF(MAX(D116:E116)&gt;informatieblad!$R$4,informatieblad!$P$5,informatieblad!$P$4)),"")</f>
        <v/>
      </c>
      <c r="E117" s="472"/>
      <c r="F117" s="134" t="str">
        <f>A116&amp;"-"&amp;informatieblad!$B$20&amp;"-"&amp;B116&amp;"-"&amp;C116&amp;"-"&amp;D116&amp;"-"&amp;E116&amp;"-"&amp;F116&amp;"-"&amp;G116&amp;"-"&amp;H116&amp;"-"&amp;I116&amp;"-"&amp;J116&amp;"-"&amp;K116&amp;"-"&amp;B117&amp;"-"&amp;H118</f>
        <v>-RctJ----0-0-0--0-0---Options None</v>
      </c>
      <c r="G117" s="134"/>
      <c r="H117" s="88"/>
      <c r="I117" s="469" t="s">
        <v>82</v>
      </c>
      <c r="J117" s="470"/>
      <c r="K117" s="135" t="str">
        <f>(IF($B116&gt;0,(IF(300&gt;(MAX(AI118,H116))*1.732,300,(MAX(AI118,H116))*1.732)+F116+G116),""))</f>
        <v/>
      </c>
      <c r="L117" s="83"/>
      <c r="V117" s="103">
        <f>A116</f>
        <v>0</v>
      </c>
      <c r="W117" s="104" t="s">
        <v>39</v>
      </c>
      <c r="X117" s="104" t="s">
        <v>39</v>
      </c>
      <c r="Y117" s="104" t="s">
        <v>40</v>
      </c>
      <c r="Z117" s="104" t="s">
        <v>40</v>
      </c>
      <c r="AA117" s="104" t="s">
        <v>40</v>
      </c>
      <c r="AB117" s="105"/>
      <c r="AC117" s="155" t="s">
        <v>27</v>
      </c>
      <c r="AD117" s="155" t="s">
        <v>40</v>
      </c>
      <c r="AE117" s="155" t="s">
        <v>41</v>
      </c>
      <c r="AF117" s="156" t="s">
        <v>95</v>
      </c>
      <c r="AG117" s="104" t="s">
        <v>96</v>
      </c>
      <c r="AH117" s="104"/>
      <c r="AI117" s="136" t="s">
        <v>174</v>
      </c>
      <c r="AK117" s="136" t="s">
        <v>95</v>
      </c>
      <c r="AL117" s="136" t="s">
        <v>96</v>
      </c>
      <c r="AM117" s="107"/>
      <c r="AN117" s="104" t="s">
        <v>40</v>
      </c>
      <c r="AO117" s="104" t="s">
        <v>41</v>
      </c>
      <c r="AP117" s="108"/>
      <c r="AQ117" s="109"/>
      <c r="AS117" s="262" t="str">
        <f>informatieblad!$A$2</f>
        <v>FL20 loose</v>
      </c>
      <c r="AT117" s="263"/>
      <c r="AU117" s="262" t="str">
        <f>informatieblad!$A$3</f>
        <v>FL30 loose</v>
      </c>
      <c r="AV117" s="105"/>
      <c r="AW117" s="263" t="str">
        <f>informatieblad!$A$4</f>
        <v>FL40 loose</v>
      </c>
      <c r="AX117" s="105"/>
      <c r="AY117" s="265"/>
      <c r="AZ117" s="105"/>
      <c r="BB117" s="267"/>
      <c r="BD117" s="267"/>
      <c r="BF117" s="265" t="s">
        <v>47</v>
      </c>
      <c r="BG117" s="106" t="s">
        <v>48</v>
      </c>
      <c r="BH117" s="83" t="s">
        <v>23</v>
      </c>
      <c r="BI117" s="83" t="s">
        <v>23</v>
      </c>
      <c r="BJ117" s="83" t="s">
        <v>23</v>
      </c>
      <c r="BK117" s="273" t="s">
        <v>23</v>
      </c>
    </row>
    <row r="118" spans="1:63" ht="15.75" customHeight="1" thickBot="1">
      <c r="A118" s="476"/>
      <c r="B118" s="137" t="s">
        <v>23</v>
      </c>
      <c r="C118" s="157"/>
      <c r="D118" s="139"/>
      <c r="E118" s="140">
        <f>C118*X118</f>
        <v>0</v>
      </c>
      <c r="F118" s="141" t="s">
        <v>24</v>
      </c>
      <c r="G118" s="293"/>
      <c r="H118" s="461" t="s">
        <v>25</v>
      </c>
      <c r="I118" s="473"/>
      <c r="J118" s="473"/>
      <c r="K118" s="474"/>
      <c r="L118" s="176"/>
      <c r="V118" s="111"/>
      <c r="W118" s="112">
        <f>(((2*(C116+D116+H116))*K116)/1000000)</f>
        <v>0</v>
      </c>
      <c r="X118" s="112">
        <f>((IF(W118&lt;=informatieblad!$I$20,informatieblad!$I$20,IF(W118&gt;=informatieblad!$I$20,W118))))</f>
        <v>0.5</v>
      </c>
      <c r="Y118" s="158">
        <f>ROUND((((2*(C116+D116+H116))*K116)/1000000),2)</f>
        <v>0</v>
      </c>
      <c r="Z118" s="112">
        <f>((IF(Y118&lt;=informatieblad!$H$13,informatieblad!$H$13,IF(Y118&gt;=informatieblad!$H$13,Y118))))</f>
        <v>0</v>
      </c>
      <c r="AA118" s="113">
        <f>((Z118*AN118)+(Z118*AD118))*C118</f>
        <v>0</v>
      </c>
      <c r="AB118" s="114">
        <f>((X118*AO118)+(X118*AE118))*C118</f>
        <v>0</v>
      </c>
      <c r="AC118" s="115" t="str">
        <f>H118</f>
        <v>Options None</v>
      </c>
      <c r="AD118" s="115">
        <f>VLOOKUP(H118,informatieblad!$A$37:$D$41,2,FALSE)</f>
        <v>0</v>
      </c>
      <c r="AE118" s="115">
        <f>VLOOKUP(H118,informatieblad!$A$37:$D$41,4,FALSE)</f>
        <v>0</v>
      </c>
      <c r="AF118" s="159">
        <f>(MAX(B116,D116))</f>
        <v>0</v>
      </c>
      <c r="AG118" s="160">
        <f>(MAX(C116,E116))</f>
        <v>0</v>
      </c>
      <c r="AH118" s="160">
        <f>(MAX(A116:E116))</f>
        <v>0</v>
      </c>
      <c r="AI118" s="295">
        <f>(D116+H116)-B116</f>
        <v>0</v>
      </c>
      <c r="AJ118" s="161">
        <f>(MAX(AL118,AK118))</f>
        <v>0</v>
      </c>
      <c r="AK118" s="162">
        <f>ROUND((SQRT((((MAX(F116,H116))^2)+(K116^2)))),0)</f>
        <v>0</v>
      </c>
      <c r="AL118" s="163">
        <f>ROUND((SQRT((((MAX(I116,J116))^2)+(K116^2)))),0)</f>
        <v>0</v>
      </c>
      <c r="AM118" s="119">
        <f>LOOKUP(AH118,informatieblad!$C$27:$C$32,informatieblad!$A$27:$A$32)</f>
        <v>0.5</v>
      </c>
      <c r="AN118" s="118">
        <f>VLOOKUP(AM118,informatieblad!$A$27:$M$32,6,FALSE)</f>
        <v>0</v>
      </c>
      <c r="AO118" s="118">
        <f>VLOOKUP(AM118,informatieblad!$A$27:$M$32,8,FALSE)</f>
        <v>45.1248</v>
      </c>
      <c r="AP118" s="120"/>
      <c r="AQ118" s="121">
        <f>ROUND((AP119*Z118),1)</f>
        <v>0</v>
      </c>
      <c r="AS118" s="111">
        <f>(IF(B117=AS116,((2*B116)+(2*C116)),IF(B117=AS117,((2*B116)+(2*C116)),0)))*C118</f>
        <v>0</v>
      </c>
      <c r="AT118" s="261">
        <f>(IF(D117=AS116,((2*D116)+(2*E116)),IF(D117=AS117,((2*D116)+(2*E116)),0)))*C118</f>
        <v>0</v>
      </c>
      <c r="AU118" s="111">
        <f>(IF(D117=AU116,((2*B116)+(2*C116)),IF(D117=AU117,((2*B116)+(2*C116)),0)))*C118</f>
        <v>0</v>
      </c>
      <c r="AV118" s="260">
        <f>(IF(D117=AU116,((2*D116)+(2*E116)),IF(D117=AU117,((2*D116)+(2*E116)),0)))*C118</f>
        <v>0</v>
      </c>
      <c r="AW118" s="261">
        <f>(IF(B117=AW116,((2*B116)+(2*C116)),IF(B117=AW117,((2*B116)+(2*C116)),0)))*C118</f>
        <v>0</v>
      </c>
      <c r="AX118" s="260">
        <f>(IF(D117=AW116,((2*D116)+(2*E116)),IF(D117=AW117,((2*D116)+(2*E116)),0)))*C118</f>
        <v>0</v>
      </c>
      <c r="AY118" s="111">
        <f>(IF(B117=AY116,((2*B116)+(2*C116)),0))*C118</f>
        <v>0</v>
      </c>
      <c r="AZ118" s="260">
        <f>(IF(D117=AY116,((2*D116)+(2*E116)),0))*C118</f>
        <v>0</v>
      </c>
      <c r="BB118" s="268">
        <f>K116*C118</f>
        <v>0</v>
      </c>
      <c r="BD118" s="268">
        <f>(AF118+100)*C118</f>
        <v>0</v>
      </c>
      <c r="BF118" s="111" t="str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/>
      </c>
      <c r="BG118" s="275" t="str">
        <f>IF(D117=informatieblad!$A$6,informatieblad!$B$6,IF(D117=informatieblad!$A$7,informatieblad!$B$7,IF(D117=informatieblad!$A$8,informatieblad!$B$8,IF(D117=informatieblad!$A$2,informatieblad!$B$2,IF(D117=informatieblad!$A$3,informatieblad!$B$3,IF(D117=informatieblad!$A$4,informatieblad!$B$4,IF(D117=informatieblad!$A$5,informatieblad!$B$5,"")))))))</f>
        <v/>
      </c>
      <c r="BH118" s="276">
        <f>IF(BF118=BH116,(4*C118),0)</f>
        <v>0</v>
      </c>
      <c r="BI118" s="276">
        <f>IF(BG118=BH116,(4*C118),0)</f>
        <v>0</v>
      </c>
      <c r="BJ118" s="276">
        <f>IF(BF118=BJ116,(4*C118),0)</f>
        <v>0</v>
      </c>
      <c r="BK118" s="274">
        <f>IF(BG118=BJ116,(4*C118),0)</f>
        <v>0</v>
      </c>
    </row>
    <row r="119" spans="1:63" ht="5.0999999999999996" customHeight="1" thickBot="1">
      <c r="A119" s="145"/>
      <c r="B119" s="122"/>
      <c r="C119" s="122"/>
      <c r="D119" s="122"/>
      <c r="E119" s="122"/>
      <c r="F119" s="122"/>
      <c r="G119" s="122"/>
      <c r="H119" s="122"/>
      <c r="I119" s="122"/>
      <c r="J119" s="122"/>
      <c r="K119" s="146"/>
    </row>
    <row r="120" spans="1:63" ht="15.75" customHeight="1" thickBot="1">
      <c r="A120" s="445"/>
      <c r="B120" s="147"/>
      <c r="C120" s="147"/>
      <c r="D120" s="147"/>
      <c r="E120" s="147">
        <f>C120</f>
        <v>0</v>
      </c>
      <c r="F120" s="147">
        <f>(B120&gt;0)*$K$7</f>
        <v>0</v>
      </c>
      <c r="G120" s="147">
        <f>(B120&gt;0)*$K$8</f>
        <v>0</v>
      </c>
      <c r="H120" s="147"/>
      <c r="I120" s="149">
        <f>(C120-E120)/2</f>
        <v>0</v>
      </c>
      <c r="J120" s="150">
        <f>(C120-E120)-I120</f>
        <v>0</v>
      </c>
      <c r="K120" s="151"/>
      <c r="L120" s="345" t="s">
        <v>20</v>
      </c>
      <c r="V120" s="97" t="s">
        <v>14</v>
      </c>
      <c r="W120" s="98" t="s">
        <v>27</v>
      </c>
      <c r="X120" s="98" t="s">
        <v>28</v>
      </c>
      <c r="Y120" s="98" t="s">
        <v>27</v>
      </c>
      <c r="Z120" s="98" t="s">
        <v>28</v>
      </c>
      <c r="AA120" s="98" t="s">
        <v>29</v>
      </c>
      <c r="AB120" s="66" t="s">
        <v>30</v>
      </c>
      <c r="AC120" s="153" t="s">
        <v>31</v>
      </c>
      <c r="AD120" s="153"/>
      <c r="AE120" s="153"/>
      <c r="AF120" s="154" t="s">
        <v>83</v>
      </c>
      <c r="AG120" s="100" t="s">
        <v>83</v>
      </c>
      <c r="AH120" s="100" t="s">
        <v>83</v>
      </c>
      <c r="AI120" s="100" t="s">
        <v>83</v>
      </c>
      <c r="AJ120" s="98" t="s">
        <v>84</v>
      </c>
      <c r="AK120" s="98" t="s">
        <v>93</v>
      </c>
      <c r="AL120" s="100" t="s">
        <v>94</v>
      </c>
      <c r="AM120" s="100" t="s">
        <v>34</v>
      </c>
      <c r="AN120" s="98" t="s">
        <v>32</v>
      </c>
      <c r="AO120" s="98" t="s">
        <v>32</v>
      </c>
      <c r="AP120" s="98" t="s">
        <v>35</v>
      </c>
      <c r="AQ120" s="101" t="s">
        <v>36</v>
      </c>
      <c r="AS120" s="97" t="str">
        <f>informatieblad!$A$6</f>
        <v>FL20</v>
      </c>
      <c r="AT120" s="99"/>
      <c r="AU120" s="97" t="str">
        <f>informatieblad!$A$7</f>
        <v>FL30</v>
      </c>
      <c r="AV120" s="66"/>
      <c r="AW120" s="99" t="str">
        <f>informatieblad!$A$8</f>
        <v>FL40</v>
      </c>
      <c r="AX120" s="66"/>
      <c r="AY120" s="97" t="str">
        <f>informatieblad!$A$5</f>
        <v>none</v>
      </c>
      <c r="AZ120" s="264"/>
      <c r="BB120" s="266" t="s">
        <v>17</v>
      </c>
      <c r="BD120" s="266" t="s">
        <v>37</v>
      </c>
      <c r="BF120" s="269" t="s">
        <v>38</v>
      </c>
      <c r="BG120" s="272"/>
      <c r="BH120" s="272">
        <f>informatieblad!$B$3</f>
        <v>0</v>
      </c>
      <c r="BI120" s="272">
        <f>informatieblad!$B$3</f>
        <v>0</v>
      </c>
      <c r="BJ120" s="272">
        <f>informatieblad!$B$4</f>
        <v>0</v>
      </c>
      <c r="BK120" s="264">
        <f>informatieblad!$B$4</f>
        <v>0</v>
      </c>
    </row>
    <row r="121" spans="1:63" ht="15.75" customHeight="1">
      <c r="A121" s="467"/>
      <c r="B121" s="471" t="str">
        <f>IF($B120&gt;0,IF(MAX(B120:C120)&lt;informatieblad!$Q$4,informatieblad!$P$3,IF(MAX(B120:C120)&gt;informatieblad!$R$4,informatieblad!$P$5,informatieblad!$P$4)),"")</f>
        <v/>
      </c>
      <c r="C121" s="472"/>
      <c r="D121" s="471" t="str">
        <f>IF($B120&gt;0,IF(MAX(D120:E120)&lt;informatieblad!$Q$4,informatieblad!$P$3,IF(MAX(D120:E120)&gt;informatieblad!$R$4,informatieblad!$P$5,informatieblad!$P$4)),"")</f>
        <v/>
      </c>
      <c r="E121" s="472"/>
      <c r="F121" s="134" t="str">
        <f>A120&amp;"-"&amp;informatieblad!$B$20&amp;"-"&amp;B120&amp;"-"&amp;C120&amp;"-"&amp;D120&amp;"-"&amp;E120&amp;"-"&amp;F120&amp;"-"&amp;G120&amp;"-"&amp;H120&amp;"-"&amp;I120&amp;"-"&amp;J120&amp;"-"&amp;K120&amp;"-"&amp;B121&amp;"-"&amp;H122</f>
        <v>-RctJ----0-0-0--0-0---Options None</v>
      </c>
      <c r="G121" s="134"/>
      <c r="H121" s="88"/>
      <c r="I121" s="469" t="s">
        <v>82</v>
      </c>
      <c r="J121" s="470"/>
      <c r="K121" s="135" t="str">
        <f>(IF($B120&gt;0,(IF(300&gt;(MAX(AI122,H120))*1.732,300,(MAX(AI122,H120))*1.732)+F120+G120),""))</f>
        <v/>
      </c>
      <c r="L121" s="83"/>
      <c r="V121" s="103">
        <f>A120</f>
        <v>0</v>
      </c>
      <c r="W121" s="104" t="s">
        <v>39</v>
      </c>
      <c r="X121" s="104" t="s">
        <v>39</v>
      </c>
      <c r="Y121" s="104" t="s">
        <v>40</v>
      </c>
      <c r="Z121" s="104" t="s">
        <v>40</v>
      </c>
      <c r="AA121" s="104" t="s">
        <v>40</v>
      </c>
      <c r="AB121" s="105"/>
      <c r="AC121" s="155" t="s">
        <v>27</v>
      </c>
      <c r="AD121" s="155" t="s">
        <v>40</v>
      </c>
      <c r="AE121" s="155" t="s">
        <v>41</v>
      </c>
      <c r="AF121" s="156" t="s">
        <v>95</v>
      </c>
      <c r="AG121" s="104" t="s">
        <v>96</v>
      </c>
      <c r="AH121" s="104"/>
      <c r="AI121" s="136" t="s">
        <v>174</v>
      </c>
      <c r="AK121" s="136" t="s">
        <v>95</v>
      </c>
      <c r="AL121" s="136" t="s">
        <v>96</v>
      </c>
      <c r="AM121" s="107"/>
      <c r="AN121" s="104" t="s">
        <v>40</v>
      </c>
      <c r="AO121" s="104" t="s">
        <v>41</v>
      </c>
      <c r="AP121" s="108"/>
      <c r="AQ121" s="109"/>
      <c r="AS121" s="262" t="str">
        <f>informatieblad!$A$2</f>
        <v>FL20 loose</v>
      </c>
      <c r="AT121" s="263"/>
      <c r="AU121" s="262" t="str">
        <f>informatieblad!$A$3</f>
        <v>FL30 loose</v>
      </c>
      <c r="AV121" s="105"/>
      <c r="AW121" s="263" t="str">
        <f>informatieblad!$A$4</f>
        <v>FL40 loose</v>
      </c>
      <c r="AX121" s="105"/>
      <c r="AY121" s="265"/>
      <c r="AZ121" s="105"/>
      <c r="BB121" s="267"/>
      <c r="BD121" s="267"/>
      <c r="BF121" s="265" t="s">
        <v>47</v>
      </c>
      <c r="BG121" s="106" t="s">
        <v>48</v>
      </c>
      <c r="BH121" s="83" t="s">
        <v>23</v>
      </c>
      <c r="BI121" s="83" t="s">
        <v>23</v>
      </c>
      <c r="BJ121" s="83" t="s">
        <v>23</v>
      </c>
      <c r="BK121" s="273" t="s">
        <v>23</v>
      </c>
    </row>
    <row r="122" spans="1:63" ht="15.75" customHeight="1" thickBot="1">
      <c r="A122" s="468"/>
      <c r="B122" s="137" t="s">
        <v>23</v>
      </c>
      <c r="C122" s="157"/>
      <c r="D122" s="139"/>
      <c r="E122" s="140">
        <f>C122*X122</f>
        <v>0</v>
      </c>
      <c r="F122" s="141" t="s">
        <v>24</v>
      </c>
      <c r="G122" s="293"/>
      <c r="H122" s="461" t="s">
        <v>25</v>
      </c>
      <c r="I122" s="473"/>
      <c r="J122" s="473"/>
      <c r="K122" s="474"/>
      <c r="L122" s="176"/>
      <c r="V122" s="111"/>
      <c r="W122" s="112">
        <f>(((2*(C120+D120+H120))*K120)/1000000)</f>
        <v>0</v>
      </c>
      <c r="X122" s="112">
        <f>((IF(W122&lt;=informatieblad!$I$20,informatieblad!$I$20,IF(W122&gt;=informatieblad!$I$20,W122))))</f>
        <v>0.5</v>
      </c>
      <c r="Y122" s="158">
        <f>ROUND((((2*(C120+D120+H120))*K120)/1000000),2)</f>
        <v>0</v>
      </c>
      <c r="Z122" s="112">
        <f>((IF(Y122&lt;=informatieblad!$H$13,informatieblad!$H$13,IF(Y122&gt;=informatieblad!$H$13,Y122))))</f>
        <v>0</v>
      </c>
      <c r="AA122" s="113">
        <f>((Z122*AN122)+(Z122*AD122))*C122</f>
        <v>0</v>
      </c>
      <c r="AB122" s="114">
        <f>((X122*AO122)+(X122*AE122))*C122</f>
        <v>0</v>
      </c>
      <c r="AC122" s="115" t="str">
        <f>H122</f>
        <v>Options None</v>
      </c>
      <c r="AD122" s="115">
        <f>VLOOKUP(H122,informatieblad!$A$37:$D$41,2,FALSE)</f>
        <v>0</v>
      </c>
      <c r="AE122" s="115">
        <f>VLOOKUP(H122,informatieblad!$A$37:$D$41,4,FALSE)</f>
        <v>0</v>
      </c>
      <c r="AF122" s="159">
        <f>(MAX(B120,D120))</f>
        <v>0</v>
      </c>
      <c r="AG122" s="160">
        <f>(MAX(C120,E120))</f>
        <v>0</v>
      </c>
      <c r="AH122" s="160">
        <f>(MAX(A120:E120))</f>
        <v>0</v>
      </c>
      <c r="AI122" s="295">
        <f>(D120+H120)-B120</f>
        <v>0</v>
      </c>
      <c r="AJ122" s="161">
        <f>(MAX(AL122,AK122))</f>
        <v>0</v>
      </c>
      <c r="AK122" s="162">
        <f>ROUND((SQRT((((MAX(F120,H120))^2)+(K120^2)))),0)</f>
        <v>0</v>
      </c>
      <c r="AL122" s="163">
        <f>ROUND((SQRT((((MAX(I120,J120))^2)+(K120^2)))),0)</f>
        <v>0</v>
      </c>
      <c r="AM122" s="119">
        <f>LOOKUP(AH122,informatieblad!$C$27:$C$32,informatieblad!$A$27:$A$32)</f>
        <v>0.5</v>
      </c>
      <c r="AN122" s="118">
        <f>VLOOKUP(AM122,informatieblad!$A$27:$M$32,6,FALSE)</f>
        <v>0</v>
      </c>
      <c r="AO122" s="118">
        <f>VLOOKUP(AM122,informatieblad!$A$27:$M$32,8,FALSE)</f>
        <v>45.1248</v>
      </c>
      <c r="AP122" s="120"/>
      <c r="AQ122" s="121">
        <f>ROUND((AP123*Z122),1)</f>
        <v>0</v>
      </c>
      <c r="AS122" s="111">
        <f>(IF(B121=AS120,((2*B120)+(2*C120)),IF(B121=AS121,((2*B120)+(2*C120)),0)))*C122</f>
        <v>0</v>
      </c>
      <c r="AT122" s="261">
        <f>(IF(D121=AS120,((2*D120)+(2*E120)),IF(D121=AS121,((2*D120)+(2*E120)),0)))*C122</f>
        <v>0</v>
      </c>
      <c r="AU122" s="111">
        <f>(IF(D121=AU120,((2*B120)+(2*C120)),IF(D121=AU121,((2*B120)+(2*C120)),0)))*C122</f>
        <v>0</v>
      </c>
      <c r="AV122" s="260">
        <f>(IF(D121=AU120,((2*D120)+(2*E120)),IF(D121=AU121,((2*D120)+(2*E120)),0)))*C122</f>
        <v>0</v>
      </c>
      <c r="AW122" s="261">
        <f>(IF(B121=AW120,((2*B120)+(2*C120)),IF(B121=AW121,((2*B120)+(2*C120)),0)))*C122</f>
        <v>0</v>
      </c>
      <c r="AX122" s="260">
        <f>(IF(D121=AW120,((2*D120)+(2*E120)),IF(D121=AW121,((2*D120)+(2*E120)),0)))*C122</f>
        <v>0</v>
      </c>
      <c r="AY122" s="111">
        <f>(IF(B121=AY120,((2*B120)+(2*C120)),0))*C122</f>
        <v>0</v>
      </c>
      <c r="AZ122" s="260">
        <f>(IF(D121=AY120,((2*D120)+(2*E120)),0))*C122</f>
        <v>0</v>
      </c>
      <c r="BB122" s="268">
        <f>K120*C122</f>
        <v>0</v>
      </c>
      <c r="BD122" s="268">
        <f>(AF122+100)*C122</f>
        <v>0</v>
      </c>
      <c r="BF122" s="111" t="str">
        <f>IF(B121=informatieblad!$A$6,informatieblad!$B$6,IF(B121=informatieblad!$A$7,informatieblad!$B$7,IF(B121=informatieblad!$A$8,informatieblad!$B$8,IF(B121=informatieblad!$A$2,informatieblad!$B$2,IF(B121=informatieblad!$A$3,informatieblad!$B$3,IF(B121=informatieblad!$A$4,informatieblad!$B$4,IF(B121=informatieblad!$A$5,informatieblad!$B$5,"")))))))</f>
        <v/>
      </c>
      <c r="BG122" s="275" t="str">
        <f>IF(D121=informatieblad!$A$6,informatieblad!$B$6,IF(D121=informatieblad!$A$7,informatieblad!$B$7,IF(D121=informatieblad!$A$8,informatieblad!$B$8,IF(D121=informatieblad!$A$2,informatieblad!$B$2,IF(D121=informatieblad!$A$3,informatieblad!$B$3,IF(D121=informatieblad!$A$4,informatieblad!$B$4,IF(D121=informatieblad!$A$5,informatieblad!$B$5,"")))))))</f>
        <v/>
      </c>
      <c r="BH122" s="276">
        <f>IF(BF122=BH120,(4*C122),0)</f>
        <v>0</v>
      </c>
      <c r="BI122" s="276">
        <f>IF(BG122=BH120,(4*C122),0)</f>
        <v>0</v>
      </c>
      <c r="BJ122" s="276">
        <f>IF(BF122=BJ120,(4*C122),0)</f>
        <v>0</v>
      </c>
      <c r="BK122" s="274">
        <f>IF(BG122=BJ120,(4*C122),0)</f>
        <v>0</v>
      </c>
    </row>
    <row r="123" spans="1:63" ht="5.0999999999999996" customHeight="1" thickBot="1">
      <c r="A123" s="145"/>
      <c r="B123" s="122"/>
      <c r="C123" s="122"/>
      <c r="D123" s="122"/>
      <c r="E123" s="122"/>
      <c r="F123" s="122"/>
      <c r="G123" s="122"/>
      <c r="H123" s="122"/>
      <c r="I123" s="122"/>
      <c r="J123" s="122"/>
      <c r="K123" s="146"/>
    </row>
    <row r="124" spans="1:63" ht="15.75" customHeight="1" thickBot="1">
      <c r="A124" s="445"/>
      <c r="B124" s="147"/>
      <c r="C124" s="147"/>
      <c r="D124" s="147"/>
      <c r="E124" s="147">
        <f>C124</f>
        <v>0</v>
      </c>
      <c r="F124" s="147">
        <f>(B124&gt;0)*$K$7</f>
        <v>0</v>
      </c>
      <c r="G124" s="147">
        <f>(B124&gt;0)*$K$8</f>
        <v>0</v>
      </c>
      <c r="H124" s="147"/>
      <c r="I124" s="149">
        <f>(C124-E124)/2</f>
        <v>0</v>
      </c>
      <c r="J124" s="150">
        <f>(C124-E124)-I124</f>
        <v>0</v>
      </c>
      <c r="K124" s="151"/>
      <c r="L124" s="345" t="s">
        <v>20</v>
      </c>
      <c r="V124" s="97" t="s">
        <v>14</v>
      </c>
      <c r="W124" s="98" t="s">
        <v>27</v>
      </c>
      <c r="X124" s="98" t="s">
        <v>28</v>
      </c>
      <c r="Y124" s="98" t="s">
        <v>27</v>
      </c>
      <c r="Z124" s="98" t="s">
        <v>28</v>
      </c>
      <c r="AA124" s="98" t="s">
        <v>29</v>
      </c>
      <c r="AB124" s="66" t="s">
        <v>30</v>
      </c>
      <c r="AC124" s="153" t="s">
        <v>31</v>
      </c>
      <c r="AD124" s="153"/>
      <c r="AE124" s="153"/>
      <c r="AF124" s="154" t="s">
        <v>83</v>
      </c>
      <c r="AG124" s="100" t="s">
        <v>83</v>
      </c>
      <c r="AH124" s="100" t="s">
        <v>83</v>
      </c>
      <c r="AI124" s="100" t="s">
        <v>83</v>
      </c>
      <c r="AJ124" s="98" t="s">
        <v>84</v>
      </c>
      <c r="AK124" s="98" t="s">
        <v>93</v>
      </c>
      <c r="AL124" s="100" t="s">
        <v>94</v>
      </c>
      <c r="AM124" s="100" t="s">
        <v>34</v>
      </c>
      <c r="AN124" s="98" t="s">
        <v>32</v>
      </c>
      <c r="AO124" s="98" t="s">
        <v>32</v>
      </c>
      <c r="AP124" s="98" t="s">
        <v>35</v>
      </c>
      <c r="AQ124" s="101" t="s">
        <v>36</v>
      </c>
      <c r="AS124" s="97" t="str">
        <f>informatieblad!$A$6</f>
        <v>FL20</v>
      </c>
      <c r="AT124" s="99"/>
      <c r="AU124" s="97" t="str">
        <f>informatieblad!$A$7</f>
        <v>FL30</v>
      </c>
      <c r="AV124" s="66"/>
      <c r="AW124" s="99" t="str">
        <f>informatieblad!$A$8</f>
        <v>FL40</v>
      </c>
      <c r="AX124" s="66"/>
      <c r="AY124" s="97" t="str">
        <f>informatieblad!$A$5</f>
        <v>none</v>
      </c>
      <c r="AZ124" s="264"/>
      <c r="BB124" s="266" t="s">
        <v>17</v>
      </c>
      <c r="BD124" s="266" t="s">
        <v>37</v>
      </c>
      <c r="BF124" s="269" t="s">
        <v>38</v>
      </c>
      <c r="BG124" s="272"/>
      <c r="BH124" s="272">
        <f>informatieblad!$B$3</f>
        <v>0</v>
      </c>
      <c r="BI124" s="272">
        <f>informatieblad!$B$3</f>
        <v>0</v>
      </c>
      <c r="BJ124" s="272">
        <f>informatieblad!$B$4</f>
        <v>0</v>
      </c>
      <c r="BK124" s="264">
        <f>informatieblad!$B$4</f>
        <v>0</v>
      </c>
    </row>
    <row r="125" spans="1:63" ht="15.75" customHeight="1">
      <c r="A125" s="446"/>
      <c r="B125" s="471" t="str">
        <f>IF($B124&gt;0,IF(MAX(B124:C124)&lt;informatieblad!$Q$4,informatieblad!$P$3,IF(MAX(B124:C124)&gt;informatieblad!$R$4,informatieblad!$P$5,informatieblad!$P$4)),"")</f>
        <v/>
      </c>
      <c r="C125" s="472"/>
      <c r="D125" s="471" t="str">
        <f>IF($B124&gt;0,IF(MAX(D124:E124)&lt;informatieblad!$Q$4,informatieblad!$P$3,IF(MAX(D124:E124)&gt;informatieblad!$R$4,informatieblad!$P$5,informatieblad!$P$4)),"")</f>
        <v/>
      </c>
      <c r="E125" s="472"/>
      <c r="F125" s="134" t="str">
        <f>A124&amp;"-"&amp;informatieblad!$B$20&amp;"-"&amp;B124&amp;"-"&amp;C124&amp;"-"&amp;D124&amp;"-"&amp;E124&amp;"-"&amp;F124&amp;"-"&amp;G124&amp;"-"&amp;H124&amp;"-"&amp;I124&amp;"-"&amp;J124&amp;"-"&amp;K124&amp;"-"&amp;B125&amp;"-"&amp;H126</f>
        <v>-RctJ----0-0-0--0-0---Options None</v>
      </c>
      <c r="G125" s="134"/>
      <c r="H125" s="88"/>
      <c r="I125" s="469" t="s">
        <v>82</v>
      </c>
      <c r="J125" s="470"/>
      <c r="K125" s="135" t="str">
        <f>(IF($B124&gt;0,(IF(300&gt;(MAX(AI126,H124))*1.732,300,(MAX(AI126,H124))*1.732)+F124+G124),""))</f>
        <v/>
      </c>
      <c r="L125" s="83"/>
      <c r="V125" s="103">
        <f>A124</f>
        <v>0</v>
      </c>
      <c r="W125" s="104" t="s">
        <v>39</v>
      </c>
      <c r="X125" s="104" t="s">
        <v>39</v>
      </c>
      <c r="Y125" s="104" t="s">
        <v>40</v>
      </c>
      <c r="Z125" s="104" t="s">
        <v>40</v>
      </c>
      <c r="AA125" s="104" t="s">
        <v>40</v>
      </c>
      <c r="AB125" s="105"/>
      <c r="AC125" s="155" t="s">
        <v>27</v>
      </c>
      <c r="AD125" s="155" t="s">
        <v>40</v>
      </c>
      <c r="AE125" s="155" t="s">
        <v>41</v>
      </c>
      <c r="AF125" s="156" t="s">
        <v>95</v>
      </c>
      <c r="AG125" s="104" t="s">
        <v>96</v>
      </c>
      <c r="AH125" s="104"/>
      <c r="AI125" s="136" t="s">
        <v>174</v>
      </c>
      <c r="AK125" s="136" t="s">
        <v>95</v>
      </c>
      <c r="AL125" s="136" t="s">
        <v>96</v>
      </c>
      <c r="AM125" s="107"/>
      <c r="AN125" s="104" t="s">
        <v>40</v>
      </c>
      <c r="AO125" s="104" t="s">
        <v>41</v>
      </c>
      <c r="AP125" s="108"/>
      <c r="AQ125" s="109"/>
      <c r="AS125" s="262" t="str">
        <f>informatieblad!$A$2</f>
        <v>FL20 loose</v>
      </c>
      <c r="AT125" s="263"/>
      <c r="AU125" s="262" t="str">
        <f>informatieblad!$A$3</f>
        <v>FL30 loose</v>
      </c>
      <c r="AV125" s="105"/>
      <c r="AW125" s="263" t="str">
        <f>informatieblad!$A$4</f>
        <v>FL40 loose</v>
      </c>
      <c r="AX125" s="105"/>
      <c r="AY125" s="265"/>
      <c r="AZ125" s="105"/>
      <c r="BB125" s="267"/>
      <c r="BD125" s="267"/>
      <c r="BF125" s="265" t="s">
        <v>47</v>
      </c>
      <c r="BG125" s="106" t="s">
        <v>48</v>
      </c>
      <c r="BH125" s="83" t="s">
        <v>23</v>
      </c>
      <c r="BI125" s="83" t="s">
        <v>23</v>
      </c>
      <c r="BJ125" s="83" t="s">
        <v>23</v>
      </c>
      <c r="BK125" s="273" t="s">
        <v>23</v>
      </c>
    </row>
    <row r="126" spans="1:63" ht="15.75" customHeight="1" thickBot="1">
      <c r="A126" s="476"/>
      <c r="B126" s="137" t="s">
        <v>23</v>
      </c>
      <c r="C126" s="157"/>
      <c r="D126" s="139"/>
      <c r="E126" s="140">
        <f>C126*X126</f>
        <v>0</v>
      </c>
      <c r="F126" s="141" t="s">
        <v>24</v>
      </c>
      <c r="G126" s="293"/>
      <c r="H126" s="461" t="s">
        <v>25</v>
      </c>
      <c r="I126" s="473"/>
      <c r="J126" s="473"/>
      <c r="K126" s="474"/>
      <c r="L126" s="176"/>
      <c r="V126" s="111"/>
      <c r="W126" s="112">
        <f>(((2*(C124+D124+H124))*K124)/1000000)</f>
        <v>0</v>
      </c>
      <c r="X126" s="112">
        <f>((IF(W126&lt;=informatieblad!$I$20,informatieblad!$I$20,IF(W126&gt;=informatieblad!$I$20,W126))))</f>
        <v>0.5</v>
      </c>
      <c r="Y126" s="158">
        <f>ROUND((((2*(C124+D124+H124))*K124)/1000000),2)</f>
        <v>0</v>
      </c>
      <c r="Z126" s="112">
        <f>((IF(Y126&lt;=informatieblad!$H$13,informatieblad!$H$13,IF(Y126&gt;=informatieblad!$H$13,Y126))))</f>
        <v>0</v>
      </c>
      <c r="AA126" s="113">
        <f>((Z126*AN126)+(Z126*AD126))*C126</f>
        <v>0</v>
      </c>
      <c r="AB126" s="114">
        <f>((X126*AO126)+(X126*AE126))*C126</f>
        <v>0</v>
      </c>
      <c r="AC126" s="115" t="str">
        <f>H126</f>
        <v>Options None</v>
      </c>
      <c r="AD126" s="115">
        <f>VLOOKUP(H126,informatieblad!$A$37:$D$41,2,FALSE)</f>
        <v>0</v>
      </c>
      <c r="AE126" s="115">
        <f>VLOOKUP(H126,informatieblad!$A$37:$D$41,4,FALSE)</f>
        <v>0</v>
      </c>
      <c r="AF126" s="159">
        <f>(MAX(B124,D124))</f>
        <v>0</v>
      </c>
      <c r="AG126" s="160">
        <f>(MAX(C124,E124))</f>
        <v>0</v>
      </c>
      <c r="AH126" s="160">
        <f>(MAX(A124:E124))</f>
        <v>0</v>
      </c>
      <c r="AI126" s="295">
        <f>(D124+H124)-B124</f>
        <v>0</v>
      </c>
      <c r="AJ126" s="161">
        <f>(MAX(AL126,AK126))</f>
        <v>0</v>
      </c>
      <c r="AK126" s="162">
        <f>ROUND((SQRT((((MAX(F124,H124))^2)+(K124^2)))),0)</f>
        <v>0</v>
      </c>
      <c r="AL126" s="163">
        <f>ROUND((SQRT((((MAX(I124,J124))^2)+(K124^2)))),0)</f>
        <v>0</v>
      </c>
      <c r="AM126" s="119">
        <f>LOOKUP(AH126,informatieblad!$C$27:$C$32,informatieblad!$A$27:$A$32)</f>
        <v>0.5</v>
      </c>
      <c r="AN126" s="118">
        <f>VLOOKUP(AM126,informatieblad!$A$27:$M$32,6,FALSE)</f>
        <v>0</v>
      </c>
      <c r="AO126" s="118">
        <f>VLOOKUP(AM126,informatieblad!$A$27:$M$32,8,FALSE)</f>
        <v>45.1248</v>
      </c>
      <c r="AP126" s="120"/>
      <c r="AQ126" s="121">
        <f>ROUND((AP127*Z126),1)</f>
        <v>0</v>
      </c>
      <c r="AS126" s="111">
        <f>(IF(B125=AS124,((2*B124)+(2*C124)),IF(B125=AS125,((2*B124)+(2*C124)),0)))*C126</f>
        <v>0</v>
      </c>
      <c r="AT126" s="261">
        <f>(IF(D125=AS124,((2*D124)+(2*E124)),IF(D125=AS125,((2*D124)+(2*E124)),0)))*C126</f>
        <v>0</v>
      </c>
      <c r="AU126" s="111">
        <f>(IF(D125=AU124,((2*B124)+(2*C124)),IF(D125=AU125,((2*B124)+(2*C124)),0)))*C126</f>
        <v>0</v>
      </c>
      <c r="AV126" s="260">
        <f>(IF(D125=AU124,((2*D124)+(2*E124)),IF(D125=AU125,((2*D124)+(2*E124)),0)))*C126</f>
        <v>0</v>
      </c>
      <c r="AW126" s="261">
        <f>(IF(B125=AW124,((2*B124)+(2*C124)),IF(B125=AW125,((2*B124)+(2*C124)),0)))*C126</f>
        <v>0</v>
      </c>
      <c r="AX126" s="260">
        <f>(IF(D125=AW124,((2*D124)+(2*E124)),IF(D125=AW125,((2*D124)+(2*E124)),0)))*C126</f>
        <v>0</v>
      </c>
      <c r="AY126" s="111">
        <f>(IF(B125=AY124,((2*B124)+(2*C124)),0))*C126</f>
        <v>0</v>
      </c>
      <c r="AZ126" s="260">
        <f>(IF(D125=AY124,((2*D124)+(2*E124)),0))*C126</f>
        <v>0</v>
      </c>
      <c r="BB126" s="268">
        <f>K124*C126</f>
        <v>0</v>
      </c>
      <c r="BD126" s="268">
        <f>(AF126+100)*C126</f>
        <v>0</v>
      </c>
      <c r="BF126" s="111" t="str">
        <f>IF(B125=informatieblad!$A$6,informatieblad!$B$6,IF(B125=informatieblad!$A$7,informatieblad!$B$7,IF(B125=informatieblad!$A$8,informatieblad!$B$8,IF(B125=informatieblad!$A$2,informatieblad!$B$2,IF(B125=informatieblad!$A$3,informatieblad!$B$3,IF(B125=informatieblad!$A$4,informatieblad!$B$4,IF(B125=informatieblad!$A$5,informatieblad!$B$5,"")))))))</f>
        <v/>
      </c>
      <c r="BG126" s="275" t="str">
        <f>IF(D125=informatieblad!$A$6,informatieblad!$B$6,IF(D125=informatieblad!$A$7,informatieblad!$B$7,IF(D125=informatieblad!$A$8,informatieblad!$B$8,IF(D125=informatieblad!$A$2,informatieblad!$B$2,IF(D125=informatieblad!$A$3,informatieblad!$B$3,IF(D125=informatieblad!$A$4,informatieblad!$B$4,IF(D125=informatieblad!$A$5,informatieblad!$B$5,"")))))))</f>
        <v/>
      </c>
      <c r="BH126" s="276">
        <f>IF(BF126=BH124,(4*C126),0)</f>
        <v>0</v>
      </c>
      <c r="BI126" s="276">
        <f>IF(BG126=BH124,(4*C126),0)</f>
        <v>0</v>
      </c>
      <c r="BJ126" s="276">
        <f>IF(BF126=BJ124,(4*C126),0)</f>
        <v>0</v>
      </c>
      <c r="BK126" s="274">
        <f>IF(BG126=BJ124,(4*C126),0)</f>
        <v>0</v>
      </c>
    </row>
    <row r="127" spans="1:63" ht="5.0999999999999996" customHeight="1" thickBot="1">
      <c r="A127" s="145"/>
      <c r="B127" s="122"/>
      <c r="C127" s="122"/>
      <c r="D127" s="122"/>
      <c r="E127" s="122"/>
      <c r="F127" s="122"/>
      <c r="G127" s="122"/>
      <c r="H127" s="122"/>
      <c r="I127" s="122"/>
      <c r="J127" s="122"/>
      <c r="K127" s="146"/>
    </row>
    <row r="128" spans="1:63" ht="15.75" customHeight="1" thickBot="1">
      <c r="A128" s="445"/>
      <c r="B128" s="147"/>
      <c r="C128" s="147"/>
      <c r="D128" s="147"/>
      <c r="E128" s="147">
        <f>C128</f>
        <v>0</v>
      </c>
      <c r="F128" s="147">
        <f>(B128&gt;0)*$K$7</f>
        <v>0</v>
      </c>
      <c r="G128" s="147">
        <f>(B128&gt;0)*$K$8</f>
        <v>0</v>
      </c>
      <c r="H128" s="147"/>
      <c r="I128" s="149">
        <f>(C128-E128)/2</f>
        <v>0</v>
      </c>
      <c r="J128" s="150">
        <f>(C128-E128)-I128</f>
        <v>0</v>
      </c>
      <c r="K128" s="151"/>
      <c r="L128" s="345" t="s">
        <v>20</v>
      </c>
      <c r="V128" s="97" t="s">
        <v>14</v>
      </c>
      <c r="W128" s="98" t="s">
        <v>27</v>
      </c>
      <c r="X128" s="98" t="s">
        <v>28</v>
      </c>
      <c r="Y128" s="98" t="s">
        <v>27</v>
      </c>
      <c r="Z128" s="98" t="s">
        <v>28</v>
      </c>
      <c r="AA128" s="98" t="s">
        <v>29</v>
      </c>
      <c r="AB128" s="66" t="s">
        <v>30</v>
      </c>
      <c r="AC128" s="153" t="s">
        <v>31</v>
      </c>
      <c r="AD128" s="153"/>
      <c r="AE128" s="153"/>
      <c r="AF128" s="154" t="s">
        <v>83</v>
      </c>
      <c r="AG128" s="100" t="s">
        <v>83</v>
      </c>
      <c r="AH128" s="100" t="s">
        <v>83</v>
      </c>
      <c r="AI128" s="100" t="s">
        <v>83</v>
      </c>
      <c r="AJ128" s="98" t="s">
        <v>84</v>
      </c>
      <c r="AK128" s="98" t="s">
        <v>93</v>
      </c>
      <c r="AL128" s="100" t="s">
        <v>94</v>
      </c>
      <c r="AM128" s="100" t="s">
        <v>34</v>
      </c>
      <c r="AN128" s="98" t="s">
        <v>32</v>
      </c>
      <c r="AO128" s="98" t="s">
        <v>32</v>
      </c>
      <c r="AP128" s="98" t="s">
        <v>35</v>
      </c>
      <c r="AQ128" s="101" t="s">
        <v>36</v>
      </c>
      <c r="AS128" s="97" t="str">
        <f>informatieblad!$A$6</f>
        <v>FL20</v>
      </c>
      <c r="AT128" s="99"/>
      <c r="AU128" s="97" t="str">
        <f>informatieblad!$A$7</f>
        <v>FL30</v>
      </c>
      <c r="AV128" s="66"/>
      <c r="AW128" s="99" t="str">
        <f>informatieblad!$A$8</f>
        <v>FL40</v>
      </c>
      <c r="AX128" s="66"/>
      <c r="AY128" s="97" t="str">
        <f>informatieblad!$A$5</f>
        <v>none</v>
      </c>
      <c r="AZ128" s="264"/>
      <c r="BB128" s="266" t="s">
        <v>17</v>
      </c>
      <c r="BD128" s="266" t="s">
        <v>37</v>
      </c>
      <c r="BF128" s="269" t="s">
        <v>38</v>
      </c>
      <c r="BG128" s="272"/>
      <c r="BH128" s="272">
        <f>informatieblad!$B$3</f>
        <v>0</v>
      </c>
      <c r="BI128" s="272">
        <f>informatieblad!$B$3</f>
        <v>0</v>
      </c>
      <c r="BJ128" s="272">
        <f>informatieblad!$B$4</f>
        <v>0</v>
      </c>
      <c r="BK128" s="264">
        <f>informatieblad!$B$4</f>
        <v>0</v>
      </c>
    </row>
    <row r="129" spans="1:63" ht="15.75" customHeight="1">
      <c r="A129" s="446"/>
      <c r="B129" s="471" t="str">
        <f>IF($B128&gt;0,IF(MAX(B128:C128)&lt;informatieblad!$Q$4,informatieblad!$P$3,IF(MAX(B128:C128)&gt;informatieblad!$R$4,informatieblad!$P$5,informatieblad!$P$4)),"")</f>
        <v/>
      </c>
      <c r="C129" s="472"/>
      <c r="D129" s="471" t="str">
        <f>IF($B128&gt;0,IF(MAX(D128:E128)&lt;informatieblad!$Q$4,informatieblad!$P$3,IF(MAX(D128:E128)&gt;informatieblad!$R$4,informatieblad!$P$5,informatieblad!$P$4)),"")</f>
        <v/>
      </c>
      <c r="E129" s="472"/>
      <c r="F129" s="134" t="str">
        <f>A128&amp;"-"&amp;informatieblad!$B$20&amp;"-"&amp;B128&amp;"-"&amp;C128&amp;"-"&amp;D128&amp;"-"&amp;E128&amp;"-"&amp;F128&amp;"-"&amp;G128&amp;"-"&amp;H128&amp;"-"&amp;I128&amp;"-"&amp;J128&amp;"-"&amp;K128&amp;"-"&amp;B129&amp;"-"&amp;H130</f>
        <v>-RctJ----0-0-0--0-0---Options None</v>
      </c>
      <c r="G129" s="134"/>
      <c r="H129" s="88"/>
      <c r="I129" s="469" t="s">
        <v>82</v>
      </c>
      <c r="J129" s="470"/>
      <c r="K129" s="135" t="str">
        <f>(IF($B128&gt;0,(IF(300&gt;(MAX(AI130,H128))*1.732,300,(MAX(AI130,H128))*1.732)+F128+G128),""))</f>
        <v/>
      </c>
      <c r="L129" s="83"/>
      <c r="V129" s="103">
        <f>A128</f>
        <v>0</v>
      </c>
      <c r="W129" s="104" t="s">
        <v>39</v>
      </c>
      <c r="X129" s="104" t="s">
        <v>39</v>
      </c>
      <c r="Y129" s="104" t="s">
        <v>40</v>
      </c>
      <c r="Z129" s="104" t="s">
        <v>40</v>
      </c>
      <c r="AA129" s="104" t="s">
        <v>40</v>
      </c>
      <c r="AB129" s="105"/>
      <c r="AC129" s="155" t="s">
        <v>27</v>
      </c>
      <c r="AD129" s="155" t="s">
        <v>40</v>
      </c>
      <c r="AE129" s="155" t="s">
        <v>41</v>
      </c>
      <c r="AF129" s="156" t="s">
        <v>95</v>
      </c>
      <c r="AG129" s="104" t="s">
        <v>96</v>
      </c>
      <c r="AH129" s="104"/>
      <c r="AI129" s="136" t="s">
        <v>174</v>
      </c>
      <c r="AK129" s="136" t="s">
        <v>95</v>
      </c>
      <c r="AL129" s="136" t="s">
        <v>96</v>
      </c>
      <c r="AM129" s="107"/>
      <c r="AN129" s="104" t="s">
        <v>40</v>
      </c>
      <c r="AO129" s="104" t="s">
        <v>41</v>
      </c>
      <c r="AP129" s="108"/>
      <c r="AQ129" s="109"/>
      <c r="AS129" s="262" t="str">
        <f>informatieblad!$A$2</f>
        <v>FL20 loose</v>
      </c>
      <c r="AT129" s="263"/>
      <c r="AU129" s="262" t="str">
        <f>informatieblad!$A$3</f>
        <v>FL30 loose</v>
      </c>
      <c r="AV129" s="105"/>
      <c r="AW129" s="263" t="str">
        <f>informatieblad!$A$4</f>
        <v>FL40 loose</v>
      </c>
      <c r="AX129" s="105"/>
      <c r="AY129" s="265"/>
      <c r="AZ129" s="105"/>
      <c r="BB129" s="267"/>
      <c r="BD129" s="267"/>
      <c r="BF129" s="265" t="s">
        <v>47</v>
      </c>
      <c r="BG129" s="106" t="s">
        <v>48</v>
      </c>
      <c r="BH129" s="83" t="s">
        <v>23</v>
      </c>
      <c r="BI129" s="83" t="s">
        <v>23</v>
      </c>
      <c r="BJ129" s="83" t="s">
        <v>23</v>
      </c>
      <c r="BK129" s="273" t="s">
        <v>23</v>
      </c>
    </row>
    <row r="130" spans="1:63" ht="15.75" customHeight="1" thickBot="1">
      <c r="A130" s="476"/>
      <c r="B130" s="137" t="s">
        <v>23</v>
      </c>
      <c r="C130" s="157"/>
      <c r="D130" s="139"/>
      <c r="E130" s="140">
        <f>C130*X130</f>
        <v>0</v>
      </c>
      <c r="F130" s="141" t="s">
        <v>24</v>
      </c>
      <c r="G130" s="293"/>
      <c r="H130" s="461" t="s">
        <v>25</v>
      </c>
      <c r="I130" s="473"/>
      <c r="J130" s="473"/>
      <c r="K130" s="474"/>
      <c r="L130" s="176"/>
      <c r="V130" s="111"/>
      <c r="W130" s="112">
        <f>(((2*(C128+D128+H128))*K128)/1000000)</f>
        <v>0</v>
      </c>
      <c r="X130" s="112">
        <f>((IF(W130&lt;=informatieblad!$I$20,informatieblad!$I$20,IF(W130&gt;=informatieblad!$I$20,W130))))</f>
        <v>0.5</v>
      </c>
      <c r="Y130" s="158">
        <f>ROUND((((2*(C128+D128+H128))*K128)/1000000),2)</f>
        <v>0</v>
      </c>
      <c r="Z130" s="112">
        <f>((IF(Y130&lt;=informatieblad!$H$13,informatieblad!$H$13,IF(Y130&gt;=informatieblad!$H$13,Y130))))</f>
        <v>0</v>
      </c>
      <c r="AA130" s="113">
        <f>((Z130*AN130)+(Z130*AD130))*C130</f>
        <v>0</v>
      </c>
      <c r="AB130" s="114">
        <f>((X130*AO130)+(X130*AE130))*C130</f>
        <v>0</v>
      </c>
      <c r="AC130" s="115" t="str">
        <f>H130</f>
        <v>Options None</v>
      </c>
      <c r="AD130" s="115">
        <f>VLOOKUP(H130,informatieblad!$A$37:$D$41,2,FALSE)</f>
        <v>0</v>
      </c>
      <c r="AE130" s="115">
        <f>VLOOKUP(H130,informatieblad!$A$37:$D$41,4,FALSE)</f>
        <v>0</v>
      </c>
      <c r="AF130" s="159">
        <f>(MAX(B128,D128))</f>
        <v>0</v>
      </c>
      <c r="AG130" s="160">
        <f>(MAX(C128,E128))</f>
        <v>0</v>
      </c>
      <c r="AH130" s="160">
        <f>(MAX(A128:E128))</f>
        <v>0</v>
      </c>
      <c r="AI130" s="295">
        <f>(D128+H128)-B128</f>
        <v>0</v>
      </c>
      <c r="AJ130" s="161">
        <f>(MAX(AL130,AK130))</f>
        <v>0</v>
      </c>
      <c r="AK130" s="162">
        <f>ROUND((SQRT((((MAX(F128,H128))^2)+(K128^2)))),0)</f>
        <v>0</v>
      </c>
      <c r="AL130" s="163">
        <f>ROUND((SQRT((((MAX(I128,J128))^2)+(K128^2)))),0)</f>
        <v>0</v>
      </c>
      <c r="AM130" s="119">
        <f>LOOKUP(AH130,informatieblad!$C$27:$C$32,informatieblad!$A$27:$A$32)</f>
        <v>0.5</v>
      </c>
      <c r="AN130" s="118">
        <f>VLOOKUP(AM130,informatieblad!$A$27:$M$32,6,FALSE)</f>
        <v>0</v>
      </c>
      <c r="AO130" s="118">
        <f>VLOOKUP(AM130,informatieblad!$A$27:$M$32,8,FALSE)</f>
        <v>45.1248</v>
      </c>
      <c r="AP130" s="120"/>
      <c r="AQ130" s="121">
        <f>ROUND((AP131*Z130),1)</f>
        <v>0</v>
      </c>
      <c r="AS130" s="111">
        <f>(IF(B129=AS128,((2*B128)+(2*C128)),IF(B129=AS129,((2*B128)+(2*C128)),0)))*C130</f>
        <v>0</v>
      </c>
      <c r="AT130" s="261">
        <f>(IF(D129=AS128,((2*D128)+(2*E128)),IF(D129=AS129,((2*D128)+(2*E128)),0)))*C130</f>
        <v>0</v>
      </c>
      <c r="AU130" s="111">
        <f>(IF(D129=AU128,((2*B128)+(2*C128)),IF(D129=AU129,((2*B128)+(2*C128)),0)))*C130</f>
        <v>0</v>
      </c>
      <c r="AV130" s="260">
        <f>(IF(D129=AU128,((2*D128)+(2*E128)),IF(D129=AU129,((2*D128)+(2*E128)),0)))*C130</f>
        <v>0</v>
      </c>
      <c r="AW130" s="261">
        <f>(IF(B129=AW128,((2*B128)+(2*C128)),IF(B129=AW129,((2*B128)+(2*C128)),0)))*C130</f>
        <v>0</v>
      </c>
      <c r="AX130" s="260">
        <f>(IF(D129=AW128,((2*D128)+(2*E128)),IF(D129=AW129,((2*D128)+(2*E128)),0)))*C130</f>
        <v>0</v>
      </c>
      <c r="AY130" s="111">
        <f>(IF(B129=AY128,((2*B128)+(2*C128)),0))*C130</f>
        <v>0</v>
      </c>
      <c r="AZ130" s="260">
        <f>(IF(D129=AY128,((2*D128)+(2*E128)),0))*C130</f>
        <v>0</v>
      </c>
      <c r="BB130" s="268">
        <f>K128*C130</f>
        <v>0</v>
      </c>
      <c r="BD130" s="268">
        <f>(AF130+100)*C130</f>
        <v>0</v>
      </c>
      <c r="BF130" s="111" t="str">
        <f>IF(B129=informatieblad!$A$6,informatieblad!$B$6,IF(B129=informatieblad!$A$7,informatieblad!$B$7,IF(B129=informatieblad!$A$8,informatieblad!$B$8,IF(B129=informatieblad!$A$2,informatieblad!$B$2,IF(B129=informatieblad!$A$3,informatieblad!$B$3,IF(B129=informatieblad!$A$4,informatieblad!$B$4,IF(B129=informatieblad!$A$5,informatieblad!$B$5,"")))))))</f>
        <v/>
      </c>
      <c r="BG130" s="275" t="str">
        <f>IF(D129=informatieblad!$A$6,informatieblad!$B$6,IF(D129=informatieblad!$A$7,informatieblad!$B$7,IF(D129=informatieblad!$A$8,informatieblad!$B$8,IF(D129=informatieblad!$A$2,informatieblad!$B$2,IF(D129=informatieblad!$A$3,informatieblad!$B$3,IF(D129=informatieblad!$A$4,informatieblad!$B$4,IF(D129=informatieblad!$A$5,informatieblad!$B$5,"")))))))</f>
        <v/>
      </c>
      <c r="BH130" s="276">
        <f>IF(BF130=BH128,(4*C130),0)</f>
        <v>0</v>
      </c>
      <c r="BI130" s="276">
        <f>IF(BG130=BH128,(4*C130),0)</f>
        <v>0</v>
      </c>
      <c r="BJ130" s="276">
        <f>IF(BF130=BJ128,(4*C130),0)</f>
        <v>0</v>
      </c>
      <c r="BK130" s="274">
        <f>IF(BG130=BJ128,(4*C130),0)</f>
        <v>0</v>
      </c>
    </row>
    <row r="131" spans="1:63" ht="5.0999999999999996" customHeight="1" thickBot="1">
      <c r="A131" s="145"/>
      <c r="B131" s="122"/>
      <c r="C131" s="122"/>
      <c r="D131" s="122"/>
      <c r="E131" s="122"/>
      <c r="F131" s="122"/>
      <c r="G131" s="122"/>
      <c r="H131" s="122"/>
      <c r="I131" s="122"/>
      <c r="J131" s="122"/>
      <c r="K131" s="146"/>
    </row>
    <row r="132" spans="1:63" ht="15.75" customHeight="1" thickBot="1">
      <c r="A132" s="445"/>
      <c r="B132" s="147"/>
      <c r="C132" s="147"/>
      <c r="D132" s="147"/>
      <c r="E132" s="147">
        <f>C132</f>
        <v>0</v>
      </c>
      <c r="F132" s="147">
        <f>(B132&gt;0)*$K$7</f>
        <v>0</v>
      </c>
      <c r="G132" s="147">
        <f>(B132&gt;0)*$K$8</f>
        <v>0</v>
      </c>
      <c r="H132" s="147"/>
      <c r="I132" s="149">
        <f>(C132-E132)/2</f>
        <v>0</v>
      </c>
      <c r="J132" s="150">
        <f>(C132-E132)-I132</f>
        <v>0</v>
      </c>
      <c r="K132" s="151"/>
      <c r="L132" s="345" t="s">
        <v>20</v>
      </c>
      <c r="V132" s="97" t="s">
        <v>14</v>
      </c>
      <c r="W132" s="98" t="s">
        <v>27</v>
      </c>
      <c r="X132" s="98" t="s">
        <v>28</v>
      </c>
      <c r="Y132" s="98" t="s">
        <v>27</v>
      </c>
      <c r="Z132" s="98" t="s">
        <v>28</v>
      </c>
      <c r="AA132" s="98" t="s">
        <v>29</v>
      </c>
      <c r="AB132" s="66" t="s">
        <v>30</v>
      </c>
      <c r="AC132" s="153" t="s">
        <v>31</v>
      </c>
      <c r="AD132" s="153"/>
      <c r="AE132" s="153"/>
      <c r="AF132" s="154" t="s">
        <v>83</v>
      </c>
      <c r="AG132" s="100" t="s">
        <v>83</v>
      </c>
      <c r="AH132" s="100" t="s">
        <v>83</v>
      </c>
      <c r="AI132" s="100" t="s">
        <v>83</v>
      </c>
      <c r="AJ132" s="98" t="s">
        <v>84</v>
      </c>
      <c r="AK132" s="98" t="s">
        <v>93</v>
      </c>
      <c r="AL132" s="100" t="s">
        <v>94</v>
      </c>
      <c r="AM132" s="100" t="s">
        <v>34</v>
      </c>
      <c r="AN132" s="98" t="s">
        <v>32</v>
      </c>
      <c r="AO132" s="98" t="s">
        <v>32</v>
      </c>
      <c r="AP132" s="98" t="s">
        <v>35</v>
      </c>
      <c r="AQ132" s="101" t="s">
        <v>36</v>
      </c>
      <c r="AS132" s="97" t="str">
        <f>informatieblad!$A$6</f>
        <v>FL20</v>
      </c>
      <c r="AT132" s="99"/>
      <c r="AU132" s="97" t="str">
        <f>informatieblad!$A$7</f>
        <v>FL30</v>
      </c>
      <c r="AV132" s="66"/>
      <c r="AW132" s="99" t="str">
        <f>informatieblad!$A$8</f>
        <v>FL40</v>
      </c>
      <c r="AX132" s="66"/>
      <c r="AY132" s="97" t="str">
        <f>informatieblad!$A$5</f>
        <v>none</v>
      </c>
      <c r="AZ132" s="264"/>
      <c r="BB132" s="266" t="s">
        <v>17</v>
      </c>
      <c r="BD132" s="266" t="s">
        <v>37</v>
      </c>
      <c r="BF132" s="269" t="s">
        <v>38</v>
      </c>
      <c r="BG132" s="272"/>
      <c r="BH132" s="272">
        <f>informatieblad!$B$3</f>
        <v>0</v>
      </c>
      <c r="BI132" s="272">
        <f>informatieblad!$B$3</f>
        <v>0</v>
      </c>
      <c r="BJ132" s="272">
        <f>informatieblad!$B$4</f>
        <v>0</v>
      </c>
      <c r="BK132" s="264">
        <f>informatieblad!$B$4</f>
        <v>0</v>
      </c>
    </row>
    <row r="133" spans="1:63" ht="15.75" customHeight="1">
      <c r="A133" s="446"/>
      <c r="B133" s="471" t="str">
        <f>IF($B132&gt;0,IF(MAX(B132:C132)&lt;informatieblad!$Q$4,informatieblad!$P$3,IF(MAX(B132:C132)&gt;informatieblad!$R$4,informatieblad!$P$5,informatieblad!$P$4)),"")</f>
        <v/>
      </c>
      <c r="C133" s="472"/>
      <c r="D133" s="471" t="str">
        <f>IF($B132&gt;0,IF(MAX(D132:E132)&lt;informatieblad!$Q$4,informatieblad!$P$3,IF(MAX(D132:E132)&gt;informatieblad!$R$4,informatieblad!$P$5,informatieblad!$P$4)),"")</f>
        <v/>
      </c>
      <c r="E133" s="472"/>
      <c r="F133" s="134" t="str">
        <f>A132&amp;"-"&amp;informatieblad!$B$20&amp;"-"&amp;B132&amp;"-"&amp;C132&amp;"-"&amp;D132&amp;"-"&amp;E132&amp;"-"&amp;F132&amp;"-"&amp;G132&amp;"-"&amp;H132&amp;"-"&amp;I132&amp;"-"&amp;J132&amp;"-"&amp;K132&amp;"-"&amp;B133&amp;"-"&amp;H134</f>
        <v>-RctJ----0-0-0--0-0---Options None</v>
      </c>
      <c r="G133" s="134"/>
      <c r="H133" s="88"/>
      <c r="I133" s="469" t="s">
        <v>82</v>
      </c>
      <c r="J133" s="470"/>
      <c r="K133" s="135" t="str">
        <f>(IF($B132&gt;0,(IF(300&gt;(MAX(AI134,H132))*1.732,300,(MAX(AI134,H132))*1.732)+F132+G132),""))</f>
        <v/>
      </c>
      <c r="L133" s="83"/>
      <c r="V133" s="103">
        <f>A132</f>
        <v>0</v>
      </c>
      <c r="W133" s="104" t="s">
        <v>39</v>
      </c>
      <c r="X133" s="104" t="s">
        <v>39</v>
      </c>
      <c r="Y133" s="104" t="s">
        <v>40</v>
      </c>
      <c r="Z133" s="104" t="s">
        <v>40</v>
      </c>
      <c r="AA133" s="104" t="s">
        <v>40</v>
      </c>
      <c r="AB133" s="105"/>
      <c r="AC133" s="155" t="s">
        <v>27</v>
      </c>
      <c r="AD133" s="155" t="s">
        <v>40</v>
      </c>
      <c r="AE133" s="155" t="s">
        <v>41</v>
      </c>
      <c r="AF133" s="156" t="s">
        <v>95</v>
      </c>
      <c r="AG133" s="104" t="s">
        <v>96</v>
      </c>
      <c r="AH133" s="104"/>
      <c r="AI133" s="136" t="s">
        <v>174</v>
      </c>
      <c r="AK133" s="136" t="s">
        <v>95</v>
      </c>
      <c r="AL133" s="136" t="s">
        <v>96</v>
      </c>
      <c r="AM133" s="107"/>
      <c r="AN133" s="104" t="s">
        <v>40</v>
      </c>
      <c r="AO133" s="104" t="s">
        <v>41</v>
      </c>
      <c r="AP133" s="108"/>
      <c r="AQ133" s="109"/>
      <c r="AS133" s="262" t="str">
        <f>informatieblad!$A$2</f>
        <v>FL20 loose</v>
      </c>
      <c r="AT133" s="263"/>
      <c r="AU133" s="262" t="str">
        <f>informatieblad!$A$3</f>
        <v>FL30 loose</v>
      </c>
      <c r="AV133" s="105"/>
      <c r="AW133" s="263" t="str">
        <f>informatieblad!$A$4</f>
        <v>FL40 loose</v>
      </c>
      <c r="AX133" s="105"/>
      <c r="AY133" s="265"/>
      <c r="AZ133" s="105"/>
      <c r="BB133" s="267"/>
      <c r="BD133" s="267"/>
      <c r="BF133" s="265" t="s">
        <v>47</v>
      </c>
      <c r="BG133" s="106" t="s">
        <v>48</v>
      </c>
      <c r="BH133" s="83" t="s">
        <v>23</v>
      </c>
      <c r="BI133" s="83" t="s">
        <v>23</v>
      </c>
      <c r="BJ133" s="83" t="s">
        <v>23</v>
      </c>
      <c r="BK133" s="273" t="s">
        <v>23</v>
      </c>
    </row>
    <row r="134" spans="1:63" ht="15.75" customHeight="1" thickBot="1">
      <c r="A134" s="476"/>
      <c r="B134" s="137" t="s">
        <v>23</v>
      </c>
      <c r="C134" s="157"/>
      <c r="D134" s="139"/>
      <c r="E134" s="140">
        <f>C134*X134</f>
        <v>0</v>
      </c>
      <c r="F134" s="141" t="s">
        <v>24</v>
      </c>
      <c r="G134" s="293"/>
      <c r="H134" s="461" t="s">
        <v>25</v>
      </c>
      <c r="I134" s="473"/>
      <c r="J134" s="473"/>
      <c r="K134" s="474"/>
      <c r="L134" s="176"/>
      <c r="V134" s="111"/>
      <c r="W134" s="112">
        <f>(((2*(C132+D132+H132))*K132)/1000000)</f>
        <v>0</v>
      </c>
      <c r="X134" s="112">
        <f>((IF(W134&lt;=informatieblad!$I$20,informatieblad!$I$20,IF(W134&gt;=informatieblad!$I$20,W134))))</f>
        <v>0.5</v>
      </c>
      <c r="Y134" s="158">
        <f>ROUND((((2*(C132+D132+H132))*K132)/1000000),2)</f>
        <v>0</v>
      </c>
      <c r="Z134" s="112">
        <f>((IF(Y134&lt;=informatieblad!$H$13,informatieblad!$H$13,IF(Y134&gt;=informatieblad!$H$13,Y134))))</f>
        <v>0</v>
      </c>
      <c r="AA134" s="113">
        <f>((Z134*AN134)+(Z134*AD134))*C134</f>
        <v>0</v>
      </c>
      <c r="AB134" s="114">
        <f>((X134*AO134)+(X134*AE134))*C134</f>
        <v>0</v>
      </c>
      <c r="AC134" s="115" t="str">
        <f>H134</f>
        <v>Options None</v>
      </c>
      <c r="AD134" s="115">
        <f>VLOOKUP(H134,informatieblad!$A$37:$D$41,2,FALSE)</f>
        <v>0</v>
      </c>
      <c r="AE134" s="115">
        <f>VLOOKUP(H134,informatieblad!$A$37:$D$41,4,FALSE)</f>
        <v>0</v>
      </c>
      <c r="AF134" s="159">
        <f>(MAX(B132,D132))</f>
        <v>0</v>
      </c>
      <c r="AG134" s="160">
        <f>(MAX(C132,E132))</f>
        <v>0</v>
      </c>
      <c r="AH134" s="160">
        <f>(MAX(A132:E132))</f>
        <v>0</v>
      </c>
      <c r="AI134" s="295">
        <f>(D132+H132)-B132</f>
        <v>0</v>
      </c>
      <c r="AJ134" s="161">
        <f>(MAX(AL134,AK134))</f>
        <v>0</v>
      </c>
      <c r="AK134" s="162">
        <f>ROUND((SQRT((((MAX(F132,H132))^2)+(K132^2)))),0)</f>
        <v>0</v>
      </c>
      <c r="AL134" s="163">
        <f>ROUND((SQRT((((MAX(I132,J132))^2)+(K132^2)))),0)</f>
        <v>0</v>
      </c>
      <c r="AM134" s="119">
        <f>LOOKUP(AH134,informatieblad!$C$27:$C$32,informatieblad!$A$27:$A$32)</f>
        <v>0.5</v>
      </c>
      <c r="AN134" s="118">
        <f>VLOOKUP(AM134,informatieblad!$A$27:$M$32,6,FALSE)</f>
        <v>0</v>
      </c>
      <c r="AO134" s="118">
        <f>VLOOKUP(AM134,informatieblad!$A$27:$M$32,8,FALSE)</f>
        <v>45.1248</v>
      </c>
      <c r="AP134" s="120"/>
      <c r="AQ134" s="121">
        <f>ROUND((AP135*Z134),1)</f>
        <v>0</v>
      </c>
      <c r="AS134" s="111">
        <f>(IF(B133=AS132,((2*B132)+(2*C132)),IF(B133=AS133,((2*B132)+(2*C132)),0)))*C134</f>
        <v>0</v>
      </c>
      <c r="AT134" s="261">
        <f>(IF(D133=AS132,((2*D132)+(2*E132)),IF(D133=AS133,((2*D132)+(2*E132)),0)))*C134</f>
        <v>0</v>
      </c>
      <c r="AU134" s="111">
        <f>(IF(D133=AU132,((2*B132)+(2*C132)),IF(D133=AU133,((2*B132)+(2*C132)),0)))*C134</f>
        <v>0</v>
      </c>
      <c r="AV134" s="260">
        <f>(IF(D133=AU132,((2*D132)+(2*E132)),IF(D133=AU133,((2*D132)+(2*E132)),0)))*C134</f>
        <v>0</v>
      </c>
      <c r="AW134" s="261">
        <f>(IF(B133=AW132,((2*B132)+(2*C132)),IF(B133=AW133,((2*B132)+(2*C132)),0)))*C134</f>
        <v>0</v>
      </c>
      <c r="AX134" s="260">
        <f>(IF(D133=AW132,((2*D132)+(2*E132)),IF(D133=AW133,((2*D132)+(2*E132)),0)))*C134</f>
        <v>0</v>
      </c>
      <c r="AY134" s="111">
        <f>(IF(B133=AY132,((2*B132)+(2*C132)),0))*C134</f>
        <v>0</v>
      </c>
      <c r="AZ134" s="260">
        <f>(IF(D133=AY132,((2*D132)+(2*E132)),0))*C134</f>
        <v>0</v>
      </c>
      <c r="BB134" s="268">
        <f>K132*C134</f>
        <v>0</v>
      </c>
      <c r="BD134" s="268">
        <f>(AF134+100)*C134</f>
        <v>0</v>
      </c>
      <c r="BF134" s="111" t="str">
        <f>IF(B133=informatieblad!$A$6,informatieblad!$B$6,IF(B133=informatieblad!$A$7,informatieblad!$B$7,IF(B133=informatieblad!$A$8,informatieblad!$B$8,IF(B133=informatieblad!$A$2,informatieblad!$B$2,IF(B133=informatieblad!$A$3,informatieblad!$B$3,IF(B133=informatieblad!$A$4,informatieblad!$B$4,IF(B133=informatieblad!$A$5,informatieblad!$B$5,"")))))))</f>
        <v/>
      </c>
      <c r="BG134" s="275" t="str">
        <f>IF(D133=informatieblad!$A$6,informatieblad!$B$6,IF(D133=informatieblad!$A$7,informatieblad!$B$7,IF(D133=informatieblad!$A$8,informatieblad!$B$8,IF(D133=informatieblad!$A$2,informatieblad!$B$2,IF(D133=informatieblad!$A$3,informatieblad!$B$3,IF(D133=informatieblad!$A$4,informatieblad!$B$4,IF(D133=informatieblad!$A$5,informatieblad!$B$5,"")))))))</f>
        <v/>
      </c>
      <c r="BH134" s="276">
        <f>IF(BF134=BH132,(4*C134),0)</f>
        <v>0</v>
      </c>
      <c r="BI134" s="276">
        <f>IF(BG134=BH132,(4*C134),0)</f>
        <v>0</v>
      </c>
      <c r="BJ134" s="276">
        <f>IF(BF134=BJ132,(4*C134),0)</f>
        <v>0</v>
      </c>
      <c r="BK134" s="274">
        <f>IF(BG134=BJ132,(4*C134),0)</f>
        <v>0</v>
      </c>
    </row>
    <row r="135" spans="1:63" ht="5.0999999999999996" customHeight="1" thickBot="1">
      <c r="A135" s="145"/>
      <c r="B135" s="122"/>
      <c r="C135" s="122"/>
      <c r="D135" s="122"/>
      <c r="E135" s="122"/>
      <c r="F135" s="122"/>
      <c r="G135" s="122"/>
      <c r="H135" s="122"/>
      <c r="I135" s="122"/>
      <c r="J135" s="122"/>
      <c r="K135" s="146"/>
    </row>
    <row r="136" spans="1:63" ht="15.75" customHeight="1" thickBot="1">
      <c r="A136" s="445"/>
      <c r="B136" s="147"/>
      <c r="C136" s="147"/>
      <c r="D136" s="147"/>
      <c r="E136" s="147">
        <f>C136</f>
        <v>0</v>
      </c>
      <c r="F136" s="147">
        <f>(B136&gt;0)*$K$7</f>
        <v>0</v>
      </c>
      <c r="G136" s="147">
        <f>(B136&gt;0)*$K$8</f>
        <v>0</v>
      </c>
      <c r="H136" s="147"/>
      <c r="I136" s="149">
        <f>(C136-E136)/2</f>
        <v>0</v>
      </c>
      <c r="J136" s="150">
        <f>(C136-E136)-I136</f>
        <v>0</v>
      </c>
      <c r="K136" s="151"/>
      <c r="L136" s="345" t="s">
        <v>20</v>
      </c>
      <c r="V136" s="97" t="s">
        <v>14</v>
      </c>
      <c r="W136" s="98" t="s">
        <v>27</v>
      </c>
      <c r="X136" s="98" t="s">
        <v>28</v>
      </c>
      <c r="Y136" s="98" t="s">
        <v>27</v>
      </c>
      <c r="Z136" s="98" t="s">
        <v>28</v>
      </c>
      <c r="AA136" s="98" t="s">
        <v>29</v>
      </c>
      <c r="AB136" s="66" t="s">
        <v>30</v>
      </c>
      <c r="AC136" s="153" t="s">
        <v>31</v>
      </c>
      <c r="AD136" s="153"/>
      <c r="AE136" s="153"/>
      <c r="AF136" s="154" t="s">
        <v>83</v>
      </c>
      <c r="AG136" s="100" t="s">
        <v>83</v>
      </c>
      <c r="AH136" s="100" t="s">
        <v>83</v>
      </c>
      <c r="AI136" s="100" t="s">
        <v>83</v>
      </c>
      <c r="AJ136" s="98" t="s">
        <v>84</v>
      </c>
      <c r="AK136" s="98" t="s">
        <v>93</v>
      </c>
      <c r="AL136" s="100" t="s">
        <v>94</v>
      </c>
      <c r="AM136" s="100" t="s">
        <v>34</v>
      </c>
      <c r="AN136" s="98" t="s">
        <v>32</v>
      </c>
      <c r="AO136" s="98" t="s">
        <v>32</v>
      </c>
      <c r="AP136" s="98" t="s">
        <v>35</v>
      </c>
      <c r="AQ136" s="101" t="s">
        <v>36</v>
      </c>
      <c r="AS136" s="97" t="str">
        <f>informatieblad!$A$6</f>
        <v>FL20</v>
      </c>
      <c r="AT136" s="99"/>
      <c r="AU136" s="97" t="str">
        <f>informatieblad!$A$7</f>
        <v>FL30</v>
      </c>
      <c r="AV136" s="66"/>
      <c r="AW136" s="99" t="str">
        <f>informatieblad!$A$8</f>
        <v>FL40</v>
      </c>
      <c r="AX136" s="66"/>
      <c r="AY136" s="97" t="str">
        <f>informatieblad!$A$5</f>
        <v>none</v>
      </c>
      <c r="AZ136" s="264"/>
      <c r="BB136" s="266" t="s">
        <v>17</v>
      </c>
      <c r="BD136" s="266" t="s">
        <v>37</v>
      </c>
      <c r="BF136" s="269" t="s">
        <v>38</v>
      </c>
      <c r="BG136" s="272"/>
      <c r="BH136" s="272">
        <f>informatieblad!$B$3</f>
        <v>0</v>
      </c>
      <c r="BI136" s="272">
        <f>informatieblad!$B$3</f>
        <v>0</v>
      </c>
      <c r="BJ136" s="272">
        <f>informatieblad!$B$4</f>
        <v>0</v>
      </c>
      <c r="BK136" s="264">
        <f>informatieblad!$B$4</f>
        <v>0</v>
      </c>
    </row>
    <row r="137" spans="1:63" ht="15.75" customHeight="1">
      <c r="A137" s="446"/>
      <c r="B137" s="471" t="str">
        <f>IF($B136&gt;0,IF(MAX(B136:C136)&lt;informatieblad!$Q$4,informatieblad!$P$3,IF(MAX(B136:C136)&gt;informatieblad!$R$4,informatieblad!$P$5,informatieblad!$P$4)),"")</f>
        <v/>
      </c>
      <c r="C137" s="472"/>
      <c r="D137" s="471" t="str">
        <f>IF($B136&gt;0,IF(MAX(D136:E136)&lt;informatieblad!$Q$4,informatieblad!$P$3,IF(MAX(D136:E136)&gt;informatieblad!$R$4,informatieblad!$P$5,informatieblad!$P$4)),"")</f>
        <v/>
      </c>
      <c r="E137" s="472"/>
      <c r="F137" s="134" t="str">
        <f>A136&amp;"-"&amp;informatieblad!$B$20&amp;"-"&amp;B136&amp;"-"&amp;C136&amp;"-"&amp;D136&amp;"-"&amp;E136&amp;"-"&amp;F136&amp;"-"&amp;G136&amp;"-"&amp;H136&amp;"-"&amp;I136&amp;"-"&amp;J136&amp;"-"&amp;K136&amp;"-"&amp;B137&amp;"-"&amp;H138</f>
        <v>-RctJ----0-0-0--0-0---Options None</v>
      </c>
      <c r="G137" s="134"/>
      <c r="H137" s="88"/>
      <c r="I137" s="469" t="s">
        <v>82</v>
      </c>
      <c r="J137" s="470"/>
      <c r="K137" s="135" t="str">
        <f>(IF($B136&gt;0,(IF(300&gt;(MAX(AI138,H136))*1.732,300,(MAX(AI138,H136))*1.732)+F136+G136),""))</f>
        <v/>
      </c>
      <c r="V137" s="103">
        <f>A136</f>
        <v>0</v>
      </c>
      <c r="W137" s="104" t="s">
        <v>39</v>
      </c>
      <c r="X137" s="104" t="s">
        <v>39</v>
      </c>
      <c r="Y137" s="104" t="s">
        <v>40</v>
      </c>
      <c r="Z137" s="104" t="s">
        <v>40</v>
      </c>
      <c r="AA137" s="104" t="s">
        <v>40</v>
      </c>
      <c r="AB137" s="105"/>
      <c r="AC137" s="155" t="s">
        <v>27</v>
      </c>
      <c r="AD137" s="155" t="s">
        <v>40</v>
      </c>
      <c r="AE137" s="155" t="s">
        <v>41</v>
      </c>
      <c r="AF137" s="156" t="s">
        <v>95</v>
      </c>
      <c r="AG137" s="104" t="s">
        <v>96</v>
      </c>
      <c r="AH137" s="104"/>
      <c r="AI137" s="136" t="s">
        <v>174</v>
      </c>
      <c r="AK137" s="136" t="s">
        <v>95</v>
      </c>
      <c r="AL137" s="136" t="s">
        <v>96</v>
      </c>
      <c r="AM137" s="107"/>
      <c r="AN137" s="104" t="s">
        <v>40</v>
      </c>
      <c r="AO137" s="104" t="s">
        <v>41</v>
      </c>
      <c r="AP137" s="108"/>
      <c r="AQ137" s="109"/>
      <c r="AS137" s="262" t="str">
        <f>informatieblad!$A$2</f>
        <v>FL20 loose</v>
      </c>
      <c r="AT137" s="263"/>
      <c r="AU137" s="262" t="str">
        <f>informatieblad!$A$3</f>
        <v>FL30 loose</v>
      </c>
      <c r="AV137" s="105"/>
      <c r="AW137" s="263" t="str">
        <f>informatieblad!$A$4</f>
        <v>FL40 loose</v>
      </c>
      <c r="AX137" s="105"/>
      <c r="AY137" s="265"/>
      <c r="AZ137" s="105"/>
      <c r="BB137" s="267"/>
      <c r="BD137" s="267"/>
      <c r="BF137" s="265" t="s">
        <v>47</v>
      </c>
      <c r="BG137" s="106" t="s">
        <v>48</v>
      </c>
      <c r="BH137" s="83" t="s">
        <v>23</v>
      </c>
      <c r="BI137" s="83" t="s">
        <v>23</v>
      </c>
      <c r="BJ137" s="83" t="s">
        <v>23</v>
      </c>
      <c r="BK137" s="273" t="s">
        <v>23</v>
      </c>
    </row>
    <row r="138" spans="1:63" ht="15.75" customHeight="1" thickBot="1">
      <c r="A138" s="476"/>
      <c r="B138" s="137" t="s">
        <v>23</v>
      </c>
      <c r="C138" s="157"/>
      <c r="D138" s="139"/>
      <c r="E138" s="140">
        <f>C138*X138</f>
        <v>0</v>
      </c>
      <c r="F138" s="141" t="s">
        <v>24</v>
      </c>
      <c r="G138" s="293"/>
      <c r="H138" s="461" t="s">
        <v>25</v>
      </c>
      <c r="I138" s="473"/>
      <c r="J138" s="473"/>
      <c r="K138" s="474"/>
      <c r="V138" s="111"/>
      <c r="W138" s="112">
        <f>(((2*(C136+D136+H136))*K136)/1000000)</f>
        <v>0</v>
      </c>
      <c r="X138" s="112">
        <f>((IF(W138&lt;=informatieblad!$I$20,informatieblad!$I$20,IF(W138&gt;=informatieblad!$I$20,W138))))</f>
        <v>0.5</v>
      </c>
      <c r="Y138" s="158">
        <f>ROUND((((2*(C136+D136+H136))*K136)/1000000),2)</f>
        <v>0</v>
      </c>
      <c r="Z138" s="158">
        <f>((IF(Y138&lt;=informatieblad!$H$13,informatieblad!$H$13,IF(Y138&gt;=informatieblad!$H$13,Y138))))</f>
        <v>0</v>
      </c>
      <c r="AA138" s="113">
        <f>((Z138*AN138)+(Z138*AD138))*C138</f>
        <v>0</v>
      </c>
      <c r="AB138" s="114">
        <f>((X138*AO138)+(X138*AE138))*C138</f>
        <v>0</v>
      </c>
      <c r="AC138" s="115" t="str">
        <f>H138</f>
        <v>Options None</v>
      </c>
      <c r="AD138" s="115">
        <f>VLOOKUP(H138,informatieblad!$A$37:$D$41,2,FALSE)</f>
        <v>0</v>
      </c>
      <c r="AE138" s="115">
        <f>VLOOKUP(H138,informatieblad!$A$37:$D$41,4,FALSE)</f>
        <v>0</v>
      </c>
      <c r="AF138" s="159">
        <f>(MAX(B136,D136))</f>
        <v>0</v>
      </c>
      <c r="AG138" s="160">
        <f>(MAX(C136,E136))</f>
        <v>0</v>
      </c>
      <c r="AH138" s="160">
        <f>(MAX(A136:E136))</f>
        <v>0</v>
      </c>
      <c r="AI138" s="295">
        <f>(D136+H136)-B136</f>
        <v>0</v>
      </c>
      <c r="AJ138" s="161">
        <f>(MAX(AL138,AK138))</f>
        <v>0</v>
      </c>
      <c r="AK138" s="162">
        <f>ROUND((SQRT((((MAX(F136,H136))^2)+(K136^2)))),0)</f>
        <v>0</v>
      </c>
      <c r="AL138" s="163">
        <f>ROUND((SQRT((((MAX(I136,J136))^2)+(K136^2)))),0)</f>
        <v>0</v>
      </c>
      <c r="AM138" s="119">
        <f>LOOKUP(AH138,informatieblad!$C$27:$C$32,informatieblad!$A$27:$A$32)</f>
        <v>0.5</v>
      </c>
      <c r="AN138" s="118">
        <f>VLOOKUP(AM138,informatieblad!$A$27:$M$32,6,FALSE)</f>
        <v>0</v>
      </c>
      <c r="AO138" s="118">
        <f>VLOOKUP(AM138,informatieblad!$A$27:$M$32,8,FALSE)</f>
        <v>45.1248</v>
      </c>
      <c r="AP138" s="120"/>
      <c r="AQ138" s="121">
        <f>ROUND((AP223*Z138),1)</f>
        <v>0</v>
      </c>
      <c r="AS138" s="111">
        <f>(IF(B137=AS136,((2*B136)+(2*C136)),IF(B137=AS137,((2*B136)+(2*C136)),0)))*C138</f>
        <v>0</v>
      </c>
      <c r="AT138" s="261">
        <f>(IF(D137=AS136,((2*D136)+(2*E136)),IF(D137=AS137,((2*D136)+(2*E136)),0)))*C138</f>
        <v>0</v>
      </c>
      <c r="AU138" s="111">
        <f>(IF(D137=AU136,((2*B136)+(2*C136)),IF(D137=AU137,((2*B136)+(2*C136)),0)))*C138</f>
        <v>0</v>
      </c>
      <c r="AV138" s="260">
        <f>(IF(D137=AU136,((2*D136)+(2*E136)),IF(D137=AU137,((2*D136)+(2*E136)),0)))*C138</f>
        <v>0</v>
      </c>
      <c r="AW138" s="261">
        <f>(IF(B137=AW136,((2*B136)+(2*C136)),IF(B137=AW137,((2*B136)+(2*C136)),0)))*C138</f>
        <v>0</v>
      </c>
      <c r="AX138" s="260">
        <f>(IF(D137=AW136,((2*D136)+(2*E136)),IF(D137=AW137,((2*D136)+(2*E136)),0)))*C138</f>
        <v>0</v>
      </c>
      <c r="AY138" s="111">
        <f>(IF(B137=AY136,((2*B136)+(2*C136)),0))*C138</f>
        <v>0</v>
      </c>
      <c r="AZ138" s="260">
        <f>(IF(D137=AY136,((2*D136)+(2*E136)),0))*C138</f>
        <v>0</v>
      </c>
      <c r="BB138" s="268">
        <f>K136*C138</f>
        <v>0</v>
      </c>
      <c r="BD138" s="268">
        <f>(AF138+100)*C138</f>
        <v>0</v>
      </c>
      <c r="BF138" s="111" t="str">
        <f>IF(B137=informatieblad!$A$6,informatieblad!$B$6,IF(B137=informatieblad!$A$7,informatieblad!$B$7,IF(B137=informatieblad!$A$8,informatieblad!$B$8,IF(B137=informatieblad!$A$2,informatieblad!$B$2,IF(B137=informatieblad!$A$3,informatieblad!$B$3,IF(B137=informatieblad!$A$4,informatieblad!$B$4,IF(B137=informatieblad!$A$5,informatieblad!$B$5,"")))))))</f>
        <v/>
      </c>
      <c r="BG138" s="275" t="str">
        <f>IF(D137=informatieblad!$A$6,informatieblad!$B$6,IF(D137=informatieblad!$A$7,informatieblad!$B$7,IF(D137=informatieblad!$A$8,informatieblad!$B$8,IF(D137=informatieblad!$A$2,informatieblad!$B$2,IF(D137=informatieblad!$A$3,informatieblad!$B$3,IF(D137=informatieblad!$A$4,informatieblad!$B$4,IF(D137=informatieblad!$A$5,informatieblad!$B$5,"")))))))</f>
        <v/>
      </c>
      <c r="BH138" s="276">
        <f>IF(BF138=BH136,(4*C138),0)</f>
        <v>0</v>
      </c>
      <c r="BI138" s="276">
        <f>IF(BG138=BH136,(4*C138),0)</f>
        <v>0</v>
      </c>
      <c r="BJ138" s="276">
        <f>IF(BF138=BJ136,(4*C138),0)</f>
        <v>0</v>
      </c>
      <c r="BK138" s="274">
        <f>IF(BG138=BJ136,(4*C138),0)</f>
        <v>0</v>
      </c>
    </row>
    <row r="139" spans="1:63" ht="15" customHeight="1" thickBot="1">
      <c r="AS139" s="277" t="s">
        <v>66</v>
      </c>
      <c r="AT139" s="278">
        <f>SUM(AS22:AT22,AS26:AT26,AS30:AT30,AS34:AT34,AS38:AT38,AS42:AT42,AS46:AT46,AS50:AT50,AS54:AT54,AS58:AT58,AS62:AT62,AS66:AT66,AS70:AT70,AS74:AT74,AS78:AT78,AS82:AT82,AS86:AT86,AS90:AT90,AS94:AT94,AS98:AT98,AS102:AT102,AS106:AT106,AS110:AT110,AS114:AT114,AS118:AT118,AS122:AT122,AS126:AT126,AS130:AT130,AS134:AT134,AS138:AT138)</f>
        <v>0</v>
      </c>
      <c r="AU139" s="277" t="s">
        <v>67</v>
      </c>
      <c r="AV139" s="278">
        <f>SUM(AU22:AV22,AU26:AV26,AU30:AV30,AU34:AV34,AU38:AV38,AU42:AV42,AU46:AV46,AU50:AV50,AU54:AV54,AU58:AV58,AU62:AV62,AU66:AV66,AU70:AV70,AU74:AV74,AU78:AV78,AU82:AV82,AU86:AV86,AU90:AV90,AU94:AV94,AU98:AV98,AU102:AV102,AU106:AV106,AU110:AV110,AU114:AV114,AU118:AV118,AU122:AV122,AU126:AV126,AU130:AV130,AU134:AV134,AU138:AV138)</f>
        <v>0</v>
      </c>
      <c r="AW139" s="277" t="s">
        <v>68</v>
      </c>
      <c r="AX139" s="278">
        <f>SUM(AW22:AX22,AW26:AX26,AW30:AX30,AW34:AX34,AW38:AX38,AW42:AX42,AW46:AX46,AW50:AX50,AW54:AX54,AW58:AX58,AW62:AX62,AW66:AX66,AW70:AX70,AW74:AX74,AW78:AX78,AW82:AX82,AW86:AX86,AW90:AX90,AW94:AX94,AW98:AX98,AW102:AX102,AW106:AX106,AW110:AX110,AW114:AX114,AW118:AX118,AW122:AX122,AW126:AX126,AW130:AX130,AW134:AX134,AW138:AX138)</f>
        <v>0</v>
      </c>
      <c r="AY139" s="277" t="s">
        <v>69</v>
      </c>
      <c r="AZ139" s="278">
        <f>SUM(AY22:AZ22,AY26:AZ26,AY30:AZ30,AY34:AZ34,AY38:AZ38,AY42:AZ42,AY46:AZ46,AY50:AZ50,AY54:AZ54,AY58:AZ58,AY62:AZ62,AY66:AZ66,AY70:AZ70,AY74:AZ74,AY78:AZ78,AY82:AZ82,AY86:AZ86,AY90:AZ90,AY94:AZ94,AY98:AZ98,AY102:AZ102,AY106:AZ106,AY110:AZ110,AY114:AZ114,AY118:AZ118,AY122:AZ122,AY126:AZ126,AY130:AZ130,AY134:AZ134,AY138:AZ138)</f>
        <v>0</v>
      </c>
      <c r="BB139" s="280">
        <f>SUM(BB22,BB26,BB30,BB34,BB38,BB42,BB46,BB50,BB54,BB58,BB62,BB66,BB70,BB74,BB78,BB82,BB86,BB90,BB94,BB98,BB102,BB106,BB110,BB114,BB118,BB122,BB126,BB130,BB134,BB138)</f>
        <v>0</v>
      </c>
      <c r="BD139" s="280">
        <f>SUM(BD22,BD26,BD30,BD34,BD38,BD42,BD46,BD50,BD54,BD58,BD62,BD66,BD70,BD74,BD78,BD82,BD86,BD90,BD94,BD98,BD102,BD106,BD110,BD114,BD118,BD122,BD126,BD130,BD134,BD138)</f>
        <v>0</v>
      </c>
      <c r="BF139" s="83"/>
      <c r="BG139" s="83"/>
      <c r="BH139" s="277" t="s">
        <v>70</v>
      </c>
      <c r="BI139" s="278">
        <f>SUM(BH22:BI22,BH26:BI26,BH30:BI30,BH34:BI34,BH38:BI38,BH42:BI42,BH46:BI46,BH50:BI50,BH54:BI54,BH58:BI58,BH62:BI62,BH66:BI66,BH70:BI70,BH74:BI74,BH78:BI78,BH82:BI82,BH86:BI86,BH90:BI90,BH94:BI94,BH98:BI98,BH102:BI102,BH106:BI106,BH110:BI110,BH114:BI114,BH118:BI118,BH122:BI122,BH126:BI126,BH130:BI130,BH134:BI134,BH138:BI138)</f>
        <v>0</v>
      </c>
      <c r="BJ139" s="277" t="s">
        <v>71</v>
      </c>
      <c r="BK139" s="278">
        <f>SUM(BJ22:BK22,BJ26:BK26,BJ30:BK30,BJ34:BK34,BJ38:BK38,BJ42:BK42,BJ46:BK46,BJ50:BK50,BJ54:BK54,BJ58:BK58,BJ62:BK62,BJ66:BK66,BJ70:BK70,BJ74:BK74,BJ78:BK78,BJ82:BK82,BJ86:BK86,BJ90:BK90,BJ94:BK94,BJ98:BK98,BJ102:BK102,BJ106:BK106,BJ110:BK110,BJ114:BK114,BJ118:BK118,BJ122:BK122,BJ126:BK126,BJ130:BK130,BJ134:BK134,BJ138:BK138)</f>
        <v>0</v>
      </c>
    </row>
    <row r="140" spans="1:63" ht="15" customHeight="1"/>
  </sheetData>
  <sheetProtection algorithmName="SHA-512" hashValue="ImjRsZgy85GnvQxCpgDYm95GWaAqXWhd0Uqej/WPio50RU0E8uurLk4X+kx4gt3/DgEl/jjFQMkEoyTb7HXxzQ==" saltValue="pDsC5589BFqpFdKT6kK5PQ==" spinCount="100000" sheet="1" objects="1" scenarios="1"/>
  <mergeCells count="155">
    <mergeCell ref="A16:A18"/>
    <mergeCell ref="B17:C17"/>
    <mergeCell ref="D17:E17"/>
    <mergeCell ref="I17:J17"/>
    <mergeCell ref="H18:K18"/>
    <mergeCell ref="A20:A22"/>
    <mergeCell ref="B21:C21"/>
    <mergeCell ref="D21:E21"/>
    <mergeCell ref="I21:J21"/>
    <mergeCell ref="H22:K22"/>
    <mergeCell ref="A24:A26"/>
    <mergeCell ref="B25:C25"/>
    <mergeCell ref="D25:E25"/>
    <mergeCell ref="I25:J25"/>
    <mergeCell ref="H26:K26"/>
    <mergeCell ref="A28:A30"/>
    <mergeCell ref="B29:C29"/>
    <mergeCell ref="D29:E29"/>
    <mergeCell ref="I29:J29"/>
    <mergeCell ref="H30:K30"/>
    <mergeCell ref="A32:A34"/>
    <mergeCell ref="B33:C33"/>
    <mergeCell ref="D33:E33"/>
    <mergeCell ref="I33:J33"/>
    <mergeCell ref="H34:K34"/>
    <mergeCell ref="A36:A38"/>
    <mergeCell ref="B37:C37"/>
    <mergeCell ref="D37:E37"/>
    <mergeCell ref="I37:J37"/>
    <mergeCell ref="H38:K38"/>
    <mergeCell ref="A40:A42"/>
    <mergeCell ref="B41:C41"/>
    <mergeCell ref="D41:E41"/>
    <mergeCell ref="I41:J41"/>
    <mergeCell ref="H42:K42"/>
    <mergeCell ref="A44:A46"/>
    <mergeCell ref="B45:C45"/>
    <mergeCell ref="D45:E45"/>
    <mergeCell ref="I45:J45"/>
    <mergeCell ref="H46:K46"/>
    <mergeCell ref="A56:A58"/>
    <mergeCell ref="B57:C57"/>
    <mergeCell ref="D57:E57"/>
    <mergeCell ref="I57:J57"/>
    <mergeCell ref="H58:K58"/>
    <mergeCell ref="A48:A50"/>
    <mergeCell ref="B49:C49"/>
    <mergeCell ref="D49:E49"/>
    <mergeCell ref="I49:J49"/>
    <mergeCell ref="H50:K50"/>
    <mergeCell ref="A52:A54"/>
    <mergeCell ref="B53:C53"/>
    <mergeCell ref="D53:E53"/>
    <mergeCell ref="I53:J53"/>
    <mergeCell ref="H54:K54"/>
    <mergeCell ref="A64:A66"/>
    <mergeCell ref="B65:C65"/>
    <mergeCell ref="D65:E65"/>
    <mergeCell ref="I65:J65"/>
    <mergeCell ref="H66:K66"/>
    <mergeCell ref="A60:A62"/>
    <mergeCell ref="B61:C61"/>
    <mergeCell ref="D61:E61"/>
    <mergeCell ref="I61:J61"/>
    <mergeCell ref="H62:K62"/>
    <mergeCell ref="A72:A74"/>
    <mergeCell ref="B73:C73"/>
    <mergeCell ref="D73:E73"/>
    <mergeCell ref="I73:J73"/>
    <mergeCell ref="H74:K74"/>
    <mergeCell ref="A68:A70"/>
    <mergeCell ref="B69:C69"/>
    <mergeCell ref="D69:E69"/>
    <mergeCell ref="I69:J69"/>
    <mergeCell ref="H70:K70"/>
    <mergeCell ref="A80:A82"/>
    <mergeCell ref="B81:C81"/>
    <mergeCell ref="D81:E81"/>
    <mergeCell ref="I81:J81"/>
    <mergeCell ref="H82:K82"/>
    <mergeCell ref="A76:A78"/>
    <mergeCell ref="B77:C77"/>
    <mergeCell ref="D77:E77"/>
    <mergeCell ref="I77:J77"/>
    <mergeCell ref="H78:K78"/>
    <mergeCell ref="A88:A90"/>
    <mergeCell ref="B89:C89"/>
    <mergeCell ref="D89:E89"/>
    <mergeCell ref="I89:J89"/>
    <mergeCell ref="H90:K90"/>
    <mergeCell ref="A84:A86"/>
    <mergeCell ref="B85:C85"/>
    <mergeCell ref="D85:E85"/>
    <mergeCell ref="I85:J85"/>
    <mergeCell ref="H86:K86"/>
    <mergeCell ref="A96:A98"/>
    <mergeCell ref="B97:C97"/>
    <mergeCell ref="D97:E97"/>
    <mergeCell ref="I97:J97"/>
    <mergeCell ref="H98:K98"/>
    <mergeCell ref="A92:A94"/>
    <mergeCell ref="B93:C93"/>
    <mergeCell ref="D93:E93"/>
    <mergeCell ref="I93:J93"/>
    <mergeCell ref="H94:K94"/>
    <mergeCell ref="A104:A106"/>
    <mergeCell ref="B105:C105"/>
    <mergeCell ref="D105:E105"/>
    <mergeCell ref="I105:J105"/>
    <mergeCell ref="H106:K106"/>
    <mergeCell ref="A100:A102"/>
    <mergeCell ref="B101:C101"/>
    <mergeCell ref="D101:E101"/>
    <mergeCell ref="I101:J101"/>
    <mergeCell ref="H102:K102"/>
    <mergeCell ref="A112:A114"/>
    <mergeCell ref="B113:C113"/>
    <mergeCell ref="D113:E113"/>
    <mergeCell ref="I113:J113"/>
    <mergeCell ref="H114:K114"/>
    <mergeCell ref="A108:A110"/>
    <mergeCell ref="B109:C109"/>
    <mergeCell ref="D109:E109"/>
    <mergeCell ref="I109:J109"/>
    <mergeCell ref="H110:K110"/>
    <mergeCell ref="A120:A122"/>
    <mergeCell ref="B121:C121"/>
    <mergeCell ref="D121:E121"/>
    <mergeCell ref="I121:J121"/>
    <mergeCell ref="H122:K122"/>
    <mergeCell ref="A116:A118"/>
    <mergeCell ref="B117:C117"/>
    <mergeCell ref="D117:E117"/>
    <mergeCell ref="I117:J117"/>
    <mergeCell ref="H118:K118"/>
    <mergeCell ref="A128:A130"/>
    <mergeCell ref="B129:C129"/>
    <mergeCell ref="D129:E129"/>
    <mergeCell ref="I129:J129"/>
    <mergeCell ref="H130:K130"/>
    <mergeCell ref="A124:A126"/>
    <mergeCell ref="B125:C125"/>
    <mergeCell ref="D125:E125"/>
    <mergeCell ref="I125:J125"/>
    <mergeCell ref="H126:K126"/>
    <mergeCell ref="A136:A138"/>
    <mergeCell ref="B137:C137"/>
    <mergeCell ref="D137:E137"/>
    <mergeCell ref="I137:J137"/>
    <mergeCell ref="H138:K138"/>
    <mergeCell ref="A132:A134"/>
    <mergeCell ref="B133:C133"/>
    <mergeCell ref="D133:E133"/>
    <mergeCell ref="I133:J133"/>
    <mergeCell ref="H134:K134"/>
  </mergeCells>
  <phoneticPr fontId="3" type="noConversion"/>
  <conditionalFormatting sqref="F20:G20">
    <cfRule type="cellIs" dxfId="124" priority="81" operator="greaterThan">
      <formula>30</formula>
    </cfRule>
  </conditionalFormatting>
  <conditionalFormatting sqref="F24:G24">
    <cfRule type="cellIs" dxfId="123" priority="78" operator="greaterThan">
      <formula>30</formula>
    </cfRule>
  </conditionalFormatting>
  <conditionalFormatting sqref="F28:G28">
    <cfRule type="cellIs" dxfId="122" priority="75" operator="greaterThan">
      <formula>30</formula>
    </cfRule>
  </conditionalFormatting>
  <conditionalFormatting sqref="F32:G32">
    <cfRule type="cellIs" dxfId="121" priority="72" operator="greaterThan">
      <formula>30</formula>
    </cfRule>
  </conditionalFormatting>
  <conditionalFormatting sqref="F36:G36">
    <cfRule type="cellIs" dxfId="120" priority="69" operator="greaterThan">
      <formula>30</formula>
    </cfRule>
  </conditionalFormatting>
  <conditionalFormatting sqref="F40:G40">
    <cfRule type="cellIs" dxfId="119" priority="66" operator="greaterThan">
      <formula>30</formula>
    </cfRule>
  </conditionalFormatting>
  <conditionalFormatting sqref="F48:G48">
    <cfRule type="cellIs" dxfId="118" priority="63" operator="greaterThan">
      <formula>30</formula>
    </cfRule>
  </conditionalFormatting>
  <conditionalFormatting sqref="F52:G52">
    <cfRule type="cellIs" dxfId="117" priority="60" operator="greaterThan">
      <formula>30</formula>
    </cfRule>
  </conditionalFormatting>
  <conditionalFormatting sqref="F56:G56">
    <cfRule type="cellIs" dxfId="116" priority="59" operator="greaterThan">
      <formula>30</formula>
    </cfRule>
  </conditionalFormatting>
  <conditionalFormatting sqref="F60:G60">
    <cfRule type="cellIs" dxfId="115" priority="56" operator="greaterThan">
      <formula>30</formula>
    </cfRule>
  </conditionalFormatting>
  <conditionalFormatting sqref="F64:G64">
    <cfRule type="cellIs" dxfId="114" priority="53" operator="greaterThan">
      <formula>30</formula>
    </cfRule>
  </conditionalFormatting>
  <conditionalFormatting sqref="F68:G68">
    <cfRule type="cellIs" dxfId="113" priority="50" operator="greaterThan">
      <formula>30</formula>
    </cfRule>
  </conditionalFormatting>
  <conditionalFormatting sqref="F72:G72">
    <cfRule type="cellIs" dxfId="112" priority="47" operator="greaterThan">
      <formula>30</formula>
    </cfRule>
  </conditionalFormatting>
  <conditionalFormatting sqref="F76:G76">
    <cfRule type="cellIs" dxfId="111" priority="44" operator="greaterThan">
      <formula>30</formula>
    </cfRule>
  </conditionalFormatting>
  <conditionalFormatting sqref="F80:G80">
    <cfRule type="cellIs" dxfId="110" priority="41" operator="greaterThan">
      <formula>30</formula>
    </cfRule>
  </conditionalFormatting>
  <conditionalFormatting sqref="F84:G84">
    <cfRule type="cellIs" dxfId="109" priority="38" operator="greaterThan">
      <formula>30</formula>
    </cfRule>
  </conditionalFormatting>
  <conditionalFormatting sqref="F88:G88">
    <cfRule type="cellIs" dxfId="108" priority="35" operator="greaterThan">
      <formula>30</formula>
    </cfRule>
  </conditionalFormatting>
  <conditionalFormatting sqref="F92:G92">
    <cfRule type="cellIs" dxfId="107" priority="32" operator="greaterThan">
      <formula>30</formula>
    </cfRule>
  </conditionalFormatting>
  <conditionalFormatting sqref="F96:G96">
    <cfRule type="cellIs" dxfId="106" priority="29" operator="greaterThan">
      <formula>30</formula>
    </cfRule>
  </conditionalFormatting>
  <conditionalFormatting sqref="F100:G100">
    <cfRule type="cellIs" dxfId="105" priority="26" operator="greaterThan">
      <formula>30</formula>
    </cfRule>
  </conditionalFormatting>
  <conditionalFormatting sqref="F104:G104">
    <cfRule type="cellIs" dxfId="104" priority="25" operator="greaterThan">
      <formula>30</formula>
    </cfRule>
  </conditionalFormatting>
  <conditionalFormatting sqref="F108:G108">
    <cfRule type="cellIs" dxfId="103" priority="22" operator="greaterThan">
      <formula>30</formula>
    </cfRule>
  </conditionalFormatting>
  <conditionalFormatting sqref="F112:G112">
    <cfRule type="cellIs" dxfId="102" priority="19" operator="greaterThan">
      <formula>30</formula>
    </cfRule>
  </conditionalFormatting>
  <conditionalFormatting sqref="F116:G116">
    <cfRule type="cellIs" dxfId="101" priority="16" operator="greaterThan">
      <formula>30</formula>
    </cfRule>
  </conditionalFormatting>
  <conditionalFormatting sqref="F120:G120">
    <cfRule type="cellIs" dxfId="100" priority="13" operator="greaterThan">
      <formula>30</formula>
    </cfRule>
  </conditionalFormatting>
  <conditionalFormatting sqref="F124:G124">
    <cfRule type="cellIs" dxfId="99" priority="10" operator="greaterThan">
      <formula>30</formula>
    </cfRule>
  </conditionalFormatting>
  <conditionalFormatting sqref="F128:G128">
    <cfRule type="cellIs" dxfId="98" priority="7" operator="greaterThan">
      <formula>30</formula>
    </cfRule>
  </conditionalFormatting>
  <conditionalFormatting sqref="F132:G132">
    <cfRule type="cellIs" dxfId="97" priority="4" operator="greaterThan">
      <formula>30</formula>
    </cfRule>
  </conditionalFormatting>
  <conditionalFormatting sqref="F136:G136">
    <cfRule type="cellIs" dxfId="96" priority="1" operator="greaterThan">
      <formula>30</formula>
    </cfRule>
  </conditionalFormatting>
  <conditionalFormatting sqref="K16">
    <cfRule type="cellIs" dxfId="95" priority="101" operator="notEqual">
      <formula>$K$17</formula>
    </cfRule>
    <cfRule type="cellIs" dxfId="94" priority="100" operator="lessThan">
      <formula>$K$17</formula>
    </cfRule>
  </conditionalFormatting>
  <conditionalFormatting sqref="K20 K56 K104">
    <cfRule type="cellIs" dxfId="93" priority="98" operator="lessThan">
      <formula>$K21</formula>
    </cfRule>
    <cfRule type="cellIs" dxfId="92" priority="99" operator="notEqual">
      <formula>$K21</formula>
    </cfRule>
  </conditionalFormatting>
  <conditionalFormatting sqref="K24">
    <cfRule type="cellIs" dxfId="91" priority="79" operator="lessThan">
      <formula>$K25</formula>
    </cfRule>
    <cfRule type="cellIs" dxfId="90" priority="80" operator="notEqual">
      <formula>$K25</formula>
    </cfRule>
  </conditionalFormatting>
  <conditionalFormatting sqref="K28">
    <cfRule type="cellIs" dxfId="89" priority="76" operator="lessThan">
      <formula>$K29</formula>
    </cfRule>
    <cfRule type="cellIs" dxfId="88" priority="77" operator="notEqual">
      <formula>$K29</formula>
    </cfRule>
  </conditionalFormatting>
  <conditionalFormatting sqref="K32">
    <cfRule type="cellIs" dxfId="87" priority="74" operator="notEqual">
      <formula>$K33</formula>
    </cfRule>
    <cfRule type="cellIs" dxfId="86" priority="73" operator="lessThan">
      <formula>$K33</formula>
    </cfRule>
  </conditionalFormatting>
  <conditionalFormatting sqref="K36">
    <cfRule type="cellIs" dxfId="85" priority="70" operator="lessThan">
      <formula>$K37</formula>
    </cfRule>
    <cfRule type="cellIs" dxfId="84" priority="71" operator="notEqual">
      <formula>$K37</formula>
    </cfRule>
  </conditionalFormatting>
  <conditionalFormatting sqref="K40">
    <cfRule type="cellIs" dxfId="83" priority="68" operator="notEqual">
      <formula>$K41</formula>
    </cfRule>
    <cfRule type="cellIs" dxfId="82" priority="67" operator="lessThan">
      <formula>$K41</formula>
    </cfRule>
  </conditionalFormatting>
  <conditionalFormatting sqref="K44">
    <cfRule type="cellIs" dxfId="81" priority="86" operator="lessThan">
      <formula>$K45</formula>
    </cfRule>
    <cfRule type="cellIs" dxfId="80" priority="87" operator="notEqual">
      <formula>$K45</formula>
    </cfRule>
  </conditionalFormatting>
  <conditionalFormatting sqref="K48">
    <cfRule type="cellIs" dxfId="79" priority="64" operator="lessThan">
      <formula>$K49</formula>
    </cfRule>
    <cfRule type="cellIs" dxfId="78" priority="65" operator="notEqual">
      <formula>$K49</formula>
    </cfRule>
  </conditionalFormatting>
  <conditionalFormatting sqref="K52">
    <cfRule type="cellIs" dxfId="77" priority="62" operator="notEqual">
      <formula>$K53</formula>
    </cfRule>
    <cfRule type="cellIs" dxfId="76" priority="61" operator="lessThan">
      <formula>$K53</formula>
    </cfRule>
  </conditionalFormatting>
  <conditionalFormatting sqref="K60">
    <cfRule type="cellIs" dxfId="75" priority="58" operator="notEqual">
      <formula>$K61</formula>
    </cfRule>
    <cfRule type="cellIs" dxfId="74" priority="57" operator="lessThan">
      <formula>$K61</formula>
    </cfRule>
  </conditionalFormatting>
  <conditionalFormatting sqref="K64">
    <cfRule type="cellIs" dxfId="73" priority="54" operator="lessThan">
      <formula>$K65</formula>
    </cfRule>
    <cfRule type="cellIs" dxfId="72" priority="55" operator="notEqual">
      <formula>$K65</formula>
    </cfRule>
  </conditionalFormatting>
  <conditionalFormatting sqref="K68">
    <cfRule type="cellIs" dxfId="71" priority="52" operator="notEqual">
      <formula>$K69</formula>
    </cfRule>
    <cfRule type="cellIs" dxfId="70" priority="51" operator="lessThan">
      <formula>$K69</formula>
    </cfRule>
  </conditionalFormatting>
  <conditionalFormatting sqref="K72">
    <cfRule type="cellIs" dxfId="69" priority="49" operator="notEqual">
      <formula>$K73</formula>
    </cfRule>
    <cfRule type="cellIs" dxfId="68" priority="48" operator="lessThan">
      <formula>$K73</formula>
    </cfRule>
  </conditionalFormatting>
  <conditionalFormatting sqref="K76">
    <cfRule type="cellIs" dxfId="67" priority="45" operator="lessThan">
      <formula>$K77</formula>
    </cfRule>
    <cfRule type="cellIs" dxfId="66" priority="46" operator="notEqual">
      <formula>$K77</formula>
    </cfRule>
  </conditionalFormatting>
  <conditionalFormatting sqref="K80">
    <cfRule type="cellIs" dxfId="65" priority="42" operator="lessThan">
      <formula>$K81</formula>
    </cfRule>
    <cfRule type="cellIs" dxfId="64" priority="43" operator="notEqual">
      <formula>$K81</formula>
    </cfRule>
  </conditionalFormatting>
  <conditionalFormatting sqref="K84">
    <cfRule type="cellIs" dxfId="63" priority="40" operator="notEqual">
      <formula>$K85</formula>
    </cfRule>
    <cfRule type="cellIs" dxfId="62" priority="39" operator="lessThan">
      <formula>$K85</formula>
    </cfRule>
  </conditionalFormatting>
  <conditionalFormatting sqref="K88">
    <cfRule type="cellIs" dxfId="61" priority="37" operator="notEqual">
      <formula>$K89</formula>
    </cfRule>
    <cfRule type="cellIs" dxfId="60" priority="36" operator="lessThan">
      <formula>$K89</formula>
    </cfRule>
  </conditionalFormatting>
  <conditionalFormatting sqref="K92">
    <cfRule type="cellIs" dxfId="59" priority="33" operator="lessThan">
      <formula>$K93</formula>
    </cfRule>
    <cfRule type="cellIs" dxfId="58" priority="34" operator="notEqual">
      <formula>$K93</formula>
    </cfRule>
  </conditionalFormatting>
  <conditionalFormatting sqref="K96">
    <cfRule type="cellIs" dxfId="57" priority="31" operator="notEqual">
      <formula>$K97</formula>
    </cfRule>
    <cfRule type="cellIs" dxfId="56" priority="30" operator="lessThan">
      <formula>$K97</formula>
    </cfRule>
  </conditionalFormatting>
  <conditionalFormatting sqref="K100">
    <cfRule type="cellIs" dxfId="55" priority="28" operator="notEqual">
      <formula>$K101</formula>
    </cfRule>
    <cfRule type="cellIs" dxfId="54" priority="27" operator="lessThan">
      <formula>$K101</formula>
    </cfRule>
  </conditionalFormatting>
  <conditionalFormatting sqref="K108">
    <cfRule type="cellIs" dxfId="53" priority="23" operator="lessThan">
      <formula>$K109</formula>
    </cfRule>
    <cfRule type="cellIs" dxfId="52" priority="24" operator="notEqual">
      <formula>$K109</formula>
    </cfRule>
  </conditionalFormatting>
  <conditionalFormatting sqref="K112">
    <cfRule type="cellIs" dxfId="51" priority="21" operator="notEqual">
      <formula>$K113</formula>
    </cfRule>
    <cfRule type="cellIs" dxfId="50" priority="20" operator="lessThan">
      <formula>$K113</formula>
    </cfRule>
  </conditionalFormatting>
  <conditionalFormatting sqref="K116">
    <cfRule type="cellIs" dxfId="49" priority="17" operator="lessThan">
      <formula>$K117</formula>
    </cfRule>
    <cfRule type="cellIs" dxfId="48" priority="18" operator="notEqual">
      <formula>$K117</formula>
    </cfRule>
  </conditionalFormatting>
  <conditionalFormatting sqref="K120">
    <cfRule type="cellIs" dxfId="47" priority="15" operator="notEqual">
      <formula>$K121</formula>
    </cfRule>
    <cfRule type="cellIs" dxfId="46" priority="14" operator="lessThan">
      <formula>$K121</formula>
    </cfRule>
  </conditionalFormatting>
  <conditionalFormatting sqref="K124">
    <cfRule type="cellIs" dxfId="45" priority="12" operator="notEqual">
      <formula>$K125</formula>
    </cfRule>
    <cfRule type="cellIs" dxfId="44" priority="11" operator="lessThan">
      <formula>$K125</formula>
    </cfRule>
  </conditionalFormatting>
  <conditionalFormatting sqref="K128">
    <cfRule type="cellIs" dxfId="43" priority="9" operator="notEqual">
      <formula>$K129</formula>
    </cfRule>
    <cfRule type="cellIs" dxfId="42" priority="8" operator="lessThan">
      <formula>$K129</formula>
    </cfRule>
  </conditionalFormatting>
  <conditionalFormatting sqref="K132">
    <cfRule type="cellIs" dxfId="41" priority="6" operator="notEqual">
      <formula>$K133</formula>
    </cfRule>
    <cfRule type="cellIs" dxfId="40" priority="5" operator="lessThan">
      <formula>$K133</formula>
    </cfRule>
  </conditionalFormatting>
  <conditionalFormatting sqref="K136">
    <cfRule type="cellIs" dxfId="39" priority="3" operator="notEqual">
      <formula>$K137</formula>
    </cfRule>
    <cfRule type="cellIs" dxfId="38" priority="2" operator="lessThan">
      <formula>$K137</formula>
    </cfRule>
  </conditionalFormatting>
  <dataValidations disablePrompts="1" count="2">
    <dataValidation type="list" allowBlank="1" showInputMessage="1" showErrorMessage="1" sqref="H22:K22 H26:K26 H30:K30 H34:K34 H38:K38 H42:K42 H46:K46 H50:K50 H54:K54 H86:K86 H58:K58 H62:K62 H66:K66 H70:K70 H74:K74 H78:K78 H82:K82 H90:K90 H138:K138 H94:K94 H98:K98 H102:K102 H134:K134 H106:K106 H110:K110 H114:K114 H118:K118 H122:K122 H126:K126 H130:K130" xr:uid="{6619C3CA-7046-45BC-90ED-E44EDF11E88A}">
      <formula1>Options_Ducts</formula1>
    </dataValidation>
    <dataValidation type="list" allowBlank="1" showInputMessage="1" showErrorMessage="1" sqref="B21:E21 B25:E25 B29:E29 B33:E33 B37:E37 B41:E41 B45:E45 B49:E49 B53:E53 B57:E57 B61:E61 B65:E65 B69:E69 B73:E73 B77:E77 B81:E81 B85:E85 B89:E89 B93:E93 B97:E97 B101:E101 B105:E105 B109:E109 B113:E113 B117:E117 B121:E121 B125:E125 B129:E129 B133:E133 B137:E137" xr:uid="{B87C5273-846E-4EF8-865B-740FEF459156}">
      <formula1>Options_flanges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D305-9470-4E66-B49C-25ED6ED91FE9}">
  <sheetPr>
    <tabColor theme="8" tint="0.79998168889431442"/>
  </sheetPr>
  <dimension ref="A4:BE141"/>
  <sheetViews>
    <sheetView showGridLines="0" view="pageBreakPreview" zoomScaleNormal="100" zoomScaleSheetLayoutView="100" workbookViewId="0">
      <pane xSplit="9" ySplit="15" topLeftCell="J16" activePane="bottomRight" state="frozen"/>
      <selection pane="bottomRight" activeCell="A20" sqref="A20:A22"/>
      <selection pane="bottomLeft" activeCell="A16" sqref="A16"/>
      <selection pane="topRight" activeCell="J1" sqref="J1"/>
    </sheetView>
  </sheetViews>
  <sheetFormatPr defaultRowHeight="15"/>
  <cols>
    <col min="1" max="1" width="9.140625" customWidth="1"/>
    <col min="2" max="2" width="9.85546875" bestFit="1" customWidth="1"/>
    <col min="3" max="3" width="8.85546875" customWidth="1"/>
    <col min="4" max="4" width="8.7109375" bestFit="1" customWidth="1"/>
    <col min="5" max="5" width="7.42578125" customWidth="1"/>
    <col min="6" max="6" width="12" customWidth="1"/>
    <col min="7" max="7" width="19.5703125" customWidth="1"/>
    <col min="8" max="8" width="6.42578125" customWidth="1"/>
    <col min="9" max="9" width="5.28515625" customWidth="1"/>
    <col min="10" max="10" width="45.140625" customWidth="1"/>
    <col min="11" max="12" width="0" hidden="1" customWidth="1"/>
    <col min="13" max="13" width="4.7109375" hidden="1" customWidth="1"/>
    <col min="14" max="14" width="10.42578125" hidden="1" customWidth="1"/>
    <col min="15" max="15" width="21" hidden="1" customWidth="1"/>
    <col min="16" max="16" width="10.42578125" hidden="1" customWidth="1"/>
    <col min="17" max="17" width="21" hidden="1" customWidth="1"/>
    <col min="18" max="18" width="24.85546875" hidden="1" customWidth="1"/>
    <col min="19" max="19" width="20.28515625" hidden="1" customWidth="1"/>
    <col min="20" max="20" width="16.42578125" hidden="1" customWidth="1"/>
    <col min="21" max="21" width="10.85546875" hidden="1" customWidth="1"/>
    <col min="22" max="22" width="11.28515625" hidden="1" customWidth="1"/>
    <col min="23" max="23" width="12.85546875" hidden="1" customWidth="1"/>
    <col min="24" max="24" width="14.85546875" hidden="1" customWidth="1"/>
    <col min="25" max="25" width="0" hidden="1" customWidth="1"/>
    <col min="26" max="26" width="16" hidden="1" customWidth="1"/>
    <col min="27" max="27" width="19.140625" hidden="1" customWidth="1"/>
    <col min="28" max="28" width="16.140625" hidden="1" customWidth="1"/>
    <col min="29" max="29" width="12.85546875" hidden="1" customWidth="1"/>
    <col min="30" max="30" width="14.85546875" hidden="1" customWidth="1"/>
    <col min="31" max="31" width="12.85546875" hidden="1" customWidth="1"/>
    <col min="32" max="33" width="9.42578125" hidden="1" customWidth="1"/>
    <col min="34" max="34" width="0" hidden="1" customWidth="1"/>
    <col min="35" max="35" width="14.28515625" hidden="1" customWidth="1"/>
    <col min="36" max="36" width="4.7109375" hidden="1" customWidth="1"/>
    <col min="37" max="37" width="14.28515625" hidden="1" customWidth="1"/>
    <col min="38" max="38" width="2.7109375" hidden="1" customWidth="1"/>
    <col min="39" max="39" width="14.28515625" hidden="1" customWidth="1"/>
    <col min="40" max="40" width="2.7109375" hidden="1" customWidth="1"/>
    <col min="41" max="41" width="7" hidden="1" customWidth="1"/>
    <col min="42" max="42" width="2.7109375" hidden="1" customWidth="1"/>
    <col min="43" max="43" width="0" hidden="1" customWidth="1"/>
    <col min="44" max="44" width="9.42578125" hidden="1" customWidth="1"/>
    <col min="45" max="45" width="0" hidden="1" customWidth="1"/>
    <col min="46" max="46" width="12.5703125" hidden="1" customWidth="1"/>
    <col min="47" max="47" width="7.7109375" hidden="1" customWidth="1"/>
    <col min="48" max="48" width="0" hidden="1" customWidth="1"/>
    <col min="49" max="49" width="14.28515625" hidden="1" customWidth="1"/>
    <col min="50" max="50" width="6" hidden="1" customWidth="1"/>
    <col min="51" max="55" width="9.85546875" hidden="1" customWidth="1"/>
    <col min="56" max="56" width="10.140625" hidden="1" customWidth="1"/>
    <col min="57" max="61" width="0" hidden="1" customWidth="1"/>
  </cols>
  <sheetData>
    <row r="4" spans="1:55">
      <c r="F4" s="11"/>
      <c r="G4" s="1"/>
      <c r="I4" s="434" t="str">
        <f>informatieblad!D21</f>
        <v>Kanalen met Klep  (RctV)</v>
      </c>
    </row>
    <row r="10" spans="1:55">
      <c r="E10" s="431" t="s">
        <v>175</v>
      </c>
      <c r="F10" s="415"/>
      <c r="G10" s="415"/>
      <c r="H10" s="431" t="s">
        <v>176</v>
      </c>
    </row>
    <row r="11" spans="1:55">
      <c r="E11" s="431" t="s">
        <v>177</v>
      </c>
      <c r="F11" s="415"/>
      <c r="G11" s="415"/>
      <c r="H11" s="431" t="s">
        <v>178</v>
      </c>
    </row>
    <row r="12" spans="1:55">
      <c r="E12" s="431" t="s">
        <v>179</v>
      </c>
    </row>
    <row r="14" spans="1:55" ht="15.75" thickBot="1"/>
    <row r="15" spans="1:55" ht="15.75" thickBot="1">
      <c r="A15" s="78" t="s">
        <v>14</v>
      </c>
      <c r="B15" s="79" t="s">
        <v>15</v>
      </c>
      <c r="C15" s="79" t="s">
        <v>16</v>
      </c>
      <c r="D15" s="80" t="s">
        <v>17</v>
      </c>
      <c r="E15" s="367" t="s">
        <v>180</v>
      </c>
      <c r="F15" s="81"/>
      <c r="G15" s="81"/>
      <c r="H15" s="81"/>
      <c r="I15" s="82"/>
      <c r="J15" s="280" t="s">
        <v>18</v>
      </c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83"/>
      <c r="AJ15" s="83"/>
      <c r="AK15" s="83"/>
      <c r="AL15" s="83"/>
      <c r="AM15" s="83"/>
      <c r="AN15" s="83"/>
      <c r="AO15" s="83"/>
      <c r="AP15" s="83"/>
      <c r="AQ15" s="64"/>
      <c r="AR15" s="83"/>
      <c r="AS15" s="64"/>
      <c r="AT15" s="64"/>
      <c r="AU15" s="83"/>
      <c r="AV15" s="64"/>
      <c r="AW15" s="83"/>
      <c r="AX15" s="83"/>
      <c r="AY15" s="83"/>
      <c r="AZ15" s="83"/>
      <c r="BA15" s="83"/>
      <c r="BB15" s="83"/>
      <c r="BC15" s="83"/>
    </row>
    <row r="16" spans="1:55" ht="15.75" thickBot="1">
      <c r="A16" s="454" t="s">
        <v>19</v>
      </c>
      <c r="B16" s="84">
        <v>300</v>
      </c>
      <c r="C16" s="84">
        <v>250</v>
      </c>
      <c r="D16" s="84">
        <v>500</v>
      </c>
      <c r="E16" s="416">
        <v>250</v>
      </c>
      <c r="F16" s="421"/>
      <c r="G16" s="423" t="s">
        <v>181</v>
      </c>
      <c r="H16" s="424">
        <f>ROUND(((B16*C16)/1000000),2)</f>
        <v>0.08</v>
      </c>
      <c r="I16" s="425" t="s">
        <v>24</v>
      </c>
      <c r="J16" s="366" t="s">
        <v>20</v>
      </c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83"/>
      <c r="AJ16" s="83"/>
      <c r="AK16" s="83"/>
      <c r="AL16" s="83"/>
      <c r="AM16" s="83"/>
      <c r="AN16" s="83"/>
      <c r="AO16" s="83"/>
      <c r="AP16" s="83"/>
      <c r="AQ16" s="64"/>
      <c r="AR16" s="83"/>
      <c r="AS16" s="64"/>
      <c r="AT16" s="64"/>
      <c r="AU16" s="83"/>
      <c r="AV16" s="64"/>
      <c r="AW16" s="83"/>
      <c r="AX16" s="83"/>
      <c r="AY16" s="83"/>
      <c r="AZ16" s="83"/>
      <c r="BA16" s="83"/>
      <c r="BB16" s="83"/>
      <c r="BC16" s="83"/>
    </row>
    <row r="17" spans="1:57">
      <c r="A17" s="455"/>
      <c r="B17" s="87" t="s">
        <v>21</v>
      </c>
      <c r="C17" s="87" t="s">
        <v>21</v>
      </c>
      <c r="D17" s="506"/>
      <c r="E17" s="524"/>
      <c r="F17" s="413" t="str">
        <f>A16&amp;"-"&amp;informatieblad!$B$21&amp;"-"&amp;B16&amp;"-"&amp;C16&amp;"-"&amp;D16&amp;"-"&amp;E16&amp;"-"&amp;B17&amp;"-"&amp;C17&amp;"-"&amp;G18</f>
        <v>VB.-RctV-300-250-500-250-FL30-FL30-Options None</v>
      </c>
      <c r="G17" s="368"/>
      <c r="H17" s="368"/>
      <c r="I17" s="414"/>
      <c r="J17" s="8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83"/>
      <c r="AJ17" s="83"/>
      <c r="AK17" s="83"/>
      <c r="AL17" s="83"/>
      <c r="AM17" s="83"/>
      <c r="AN17" s="83"/>
      <c r="AO17" s="83"/>
      <c r="AP17" s="83"/>
      <c r="AQ17" s="64"/>
      <c r="AR17" s="83"/>
      <c r="AS17" s="64"/>
      <c r="AT17" s="64"/>
      <c r="AU17" s="83"/>
      <c r="AV17" s="64"/>
      <c r="AW17" s="83"/>
      <c r="AX17" s="83"/>
      <c r="AY17" s="83"/>
      <c r="AZ17" s="83"/>
      <c r="BA17" s="83"/>
      <c r="BB17" s="83"/>
      <c r="BC17" s="83"/>
    </row>
    <row r="18" spans="1:57" ht="15.75" thickBot="1">
      <c r="A18" s="456"/>
      <c r="B18" s="371" t="s">
        <v>23</v>
      </c>
      <c r="C18" s="371">
        <v>1</v>
      </c>
      <c r="D18" s="94">
        <v>2.5</v>
      </c>
      <c r="E18" s="422" t="s">
        <v>24</v>
      </c>
      <c r="F18" s="371"/>
      <c r="G18" s="457" t="s">
        <v>25</v>
      </c>
      <c r="H18" s="525"/>
      <c r="I18" s="526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83"/>
      <c r="AH18" s="83"/>
      <c r="AI18" s="83"/>
      <c r="AJ18" s="83"/>
      <c r="AK18" s="83"/>
      <c r="AL18" s="83"/>
      <c r="AM18" s="83"/>
      <c r="AN18" s="83"/>
      <c r="AO18" s="64"/>
      <c r="AP18" s="83"/>
      <c r="AQ18" s="64"/>
      <c r="AR18" s="64"/>
      <c r="AS18" s="83"/>
      <c r="AT18" s="64"/>
      <c r="AU18" s="83"/>
      <c r="AV18" s="83"/>
      <c r="AW18" s="83"/>
      <c r="AX18" s="83"/>
      <c r="AY18" s="83"/>
      <c r="AZ18" s="83"/>
      <c r="BA18" s="83"/>
    </row>
    <row r="19" spans="1:57" ht="5.0999999999999996" customHeight="1" thickBot="1">
      <c r="A19" s="88"/>
      <c r="B19" s="88"/>
      <c r="C19" s="88"/>
      <c r="D19" s="88"/>
      <c r="F19" s="88"/>
      <c r="G19" s="88"/>
      <c r="H19" s="88"/>
      <c r="I19" s="88"/>
      <c r="J19" s="8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83"/>
      <c r="AJ19" s="83"/>
      <c r="AK19" s="83"/>
      <c r="AL19" s="83"/>
      <c r="AM19" s="83"/>
      <c r="AN19" s="83"/>
      <c r="AO19" s="83"/>
      <c r="AP19" s="83"/>
      <c r="AQ19" s="64"/>
      <c r="AR19" s="83"/>
      <c r="AS19" s="64"/>
      <c r="AT19" s="64"/>
      <c r="AU19" s="83"/>
      <c r="AV19" s="64"/>
      <c r="AW19" s="83"/>
      <c r="AX19" s="83"/>
      <c r="AY19" s="83"/>
      <c r="AZ19" s="83"/>
      <c r="BA19" s="83"/>
      <c r="BB19" s="83"/>
      <c r="BC19" s="83"/>
    </row>
    <row r="20" spans="1:57" ht="15.75" customHeight="1" thickBot="1">
      <c r="A20" s="445"/>
      <c r="B20" s="96"/>
      <c r="C20" s="96"/>
      <c r="D20" s="96"/>
      <c r="E20" s="96"/>
      <c r="F20" s="421"/>
      <c r="G20" s="423" t="s">
        <v>181</v>
      </c>
      <c r="H20" s="424">
        <f>ROUND(((B20*C20)/1000000),2)</f>
        <v>0</v>
      </c>
      <c r="I20" s="425" t="s">
        <v>24</v>
      </c>
      <c r="J20" s="366" t="s">
        <v>20</v>
      </c>
      <c r="K20" s="64"/>
      <c r="L20" s="64"/>
      <c r="M20" s="97" t="s">
        <v>26</v>
      </c>
      <c r="N20" s="98" t="s">
        <v>27</v>
      </c>
      <c r="O20" s="98" t="s">
        <v>28</v>
      </c>
      <c r="P20" s="98" t="s">
        <v>27</v>
      </c>
      <c r="Q20" s="98" t="s">
        <v>28</v>
      </c>
      <c r="R20" s="98" t="s">
        <v>29</v>
      </c>
      <c r="S20" s="66" t="s">
        <v>30</v>
      </c>
      <c r="T20" s="99" t="s">
        <v>31</v>
      </c>
      <c r="U20" s="99"/>
      <c r="V20" s="99"/>
      <c r="W20" s="98" t="s">
        <v>32</v>
      </c>
      <c r="X20" s="98" t="s">
        <v>32</v>
      </c>
      <c r="Y20" s="98"/>
      <c r="Z20" s="98" t="s">
        <v>33</v>
      </c>
      <c r="AA20" s="100" t="s">
        <v>34</v>
      </c>
      <c r="AB20" s="98" t="s">
        <v>32</v>
      </c>
      <c r="AC20" s="98" t="s">
        <v>32</v>
      </c>
      <c r="AD20" s="98" t="s">
        <v>32</v>
      </c>
      <c r="AE20" s="98" t="s">
        <v>32</v>
      </c>
      <c r="AF20" s="98" t="s">
        <v>35</v>
      </c>
      <c r="AG20" s="101" t="s">
        <v>36</v>
      </c>
      <c r="AH20" s="64"/>
      <c r="AI20" s="97" t="str">
        <f>informatieblad!$A$6</f>
        <v>FL20</v>
      </c>
      <c r="AJ20" s="99"/>
      <c r="AK20" s="97" t="str">
        <f>informatieblad!$A$7</f>
        <v>FL30</v>
      </c>
      <c r="AL20" s="66"/>
      <c r="AM20" s="99" t="str">
        <f>informatieblad!$A$8</f>
        <v>FL40</v>
      </c>
      <c r="AN20" s="66"/>
      <c r="AO20" s="97" t="str">
        <f>informatieblad!$A$5</f>
        <v>none</v>
      </c>
      <c r="AP20" s="264"/>
      <c r="AQ20" s="64"/>
      <c r="AR20" s="266" t="s">
        <v>17</v>
      </c>
      <c r="AS20" s="64"/>
      <c r="AT20" s="64"/>
      <c r="AU20" s="266" t="s">
        <v>37</v>
      </c>
      <c r="AV20" s="64"/>
      <c r="AW20" s="269" t="s">
        <v>38</v>
      </c>
      <c r="AX20" s="272"/>
      <c r="AY20" s="272">
        <f>informatieblad!$B$3</f>
        <v>0</v>
      </c>
      <c r="AZ20" s="272">
        <f>informatieblad!$B$3</f>
        <v>0</v>
      </c>
      <c r="BA20" s="272">
        <f>informatieblad!$B$4</f>
        <v>0</v>
      </c>
      <c r="BB20" s="264">
        <f>informatieblad!$B$4</f>
        <v>0</v>
      </c>
      <c r="BC20" s="83"/>
      <c r="BD20" t="s">
        <v>182</v>
      </c>
    </row>
    <row r="21" spans="1:57" ht="15" customHeight="1">
      <c r="A21" s="467"/>
      <c r="B21" s="102" t="str">
        <f>IF($C22&gt;0,IF(MAX(B20:C20)&lt;informatieblad!$Q$4,informatieblad!$P$3,IF(MAX(B20:C20)&gt;informatieblad!$R$4,informatieblad!$P$5,informatieblad!$P$4)),"")</f>
        <v/>
      </c>
      <c r="C21" s="102" t="str">
        <f>IF($C22&gt;0,IF(MAX(B20:C20)&lt;informatieblad!$Q$4,informatieblad!$P$3,IF(MAX(B20:C20)&gt;informatieblad!$R$4,informatieblad!$P$5,informatieblad!$P$4)),"")</f>
        <v/>
      </c>
      <c r="D21" s="504"/>
      <c r="E21" s="527"/>
      <c r="F21" s="505" t="str">
        <f>A20&amp;"-"&amp;informatieblad!$B$21&amp;"-"&amp;B20&amp;"-"&amp;C20&amp;"-"&amp;D20&amp;"-"&amp;E20&amp;"-"&amp;B21&amp;"-"&amp;C21&amp;"-"&amp;G22</f>
        <v>-RctV-------Options None</v>
      </c>
      <c r="G21" s="528"/>
      <c r="H21" s="528"/>
      <c r="I21" s="529"/>
      <c r="J21" s="83"/>
      <c r="K21" s="64"/>
      <c r="L21" s="64"/>
      <c r="M21" s="103">
        <f>A20</f>
        <v>0</v>
      </c>
      <c r="N21" s="104" t="s">
        <v>39</v>
      </c>
      <c r="O21" s="104" t="s">
        <v>39</v>
      </c>
      <c r="P21" s="104" t="s">
        <v>40</v>
      </c>
      <c r="Q21" s="104" t="s">
        <v>40</v>
      </c>
      <c r="R21" s="104" t="s">
        <v>40</v>
      </c>
      <c r="S21" s="105"/>
      <c r="T21" s="106" t="s">
        <v>27</v>
      </c>
      <c r="U21" s="106" t="s">
        <v>40</v>
      </c>
      <c r="V21" s="106" t="s">
        <v>41</v>
      </c>
      <c r="W21" s="104" t="s">
        <v>42</v>
      </c>
      <c r="X21" s="104" t="s">
        <v>43</v>
      </c>
      <c r="Y21" s="104"/>
      <c r="Z21" s="104" t="s">
        <v>44</v>
      </c>
      <c r="AA21" s="107"/>
      <c r="AB21" s="104" t="s">
        <v>45</v>
      </c>
      <c r="AC21" s="104" t="s">
        <v>42</v>
      </c>
      <c r="AD21" s="104" t="s">
        <v>43</v>
      </c>
      <c r="AE21" s="104" t="s">
        <v>46</v>
      </c>
      <c r="AF21" s="108"/>
      <c r="AG21" s="109"/>
      <c r="AH21" s="64"/>
      <c r="AI21" s="262" t="str">
        <f>informatieblad!$A$2</f>
        <v>FL20 loose</v>
      </c>
      <c r="AJ21" s="263"/>
      <c r="AK21" s="262" t="str">
        <f>informatieblad!$A$3</f>
        <v>FL30 loose</v>
      </c>
      <c r="AL21" s="105"/>
      <c r="AM21" s="263" t="str">
        <f>informatieblad!$A$4</f>
        <v>FL40 loose</v>
      </c>
      <c r="AN21" s="105"/>
      <c r="AO21" s="265"/>
      <c r="AP21" s="105"/>
      <c r="AQ21" s="64"/>
      <c r="AR21" s="267"/>
      <c r="AS21" s="64"/>
      <c r="AT21" s="83" t="str">
        <f>'UC mounting materials '!$B$10</f>
        <v>Rail 30x15</v>
      </c>
      <c r="AU21" s="327">
        <f>IF(Z22&lt;1000,(Z22+100),0)*C22</f>
        <v>0</v>
      </c>
      <c r="AV21" s="64"/>
      <c r="AW21" s="265" t="s">
        <v>47</v>
      </c>
      <c r="AX21" s="106" t="s">
        <v>48</v>
      </c>
      <c r="AY21" s="83" t="s">
        <v>23</v>
      </c>
      <c r="AZ21" s="83" t="s">
        <v>23</v>
      </c>
      <c r="BA21" s="83" t="s">
        <v>23</v>
      </c>
      <c r="BB21" s="273" t="s">
        <v>23</v>
      </c>
      <c r="BC21" s="83"/>
      <c r="BD21" t="s">
        <v>40</v>
      </c>
      <c r="BE21" s="83" t="s">
        <v>41</v>
      </c>
    </row>
    <row r="22" spans="1:57" ht="15.75" customHeight="1" thickBot="1">
      <c r="A22" s="468"/>
      <c r="B22" s="371" t="s">
        <v>23</v>
      </c>
      <c r="C22" s="412"/>
      <c r="D22" s="94">
        <f>C22*O22</f>
        <v>0</v>
      </c>
      <c r="E22" s="422" t="s">
        <v>24</v>
      </c>
      <c r="F22" s="93"/>
      <c r="G22" s="451" t="s">
        <v>25</v>
      </c>
      <c r="H22" s="530"/>
      <c r="I22" s="531"/>
      <c r="J22" s="83"/>
      <c r="K22" s="64"/>
      <c r="L22" s="64"/>
      <c r="M22" s="111"/>
      <c r="N22" s="112">
        <f>(((2*(B20+C20))*D20)/1000000)+(((B20-10)*(C20-10))/1000000)</f>
        <v>1E-4</v>
      </c>
      <c r="O22" s="112">
        <f>((IF(N22&lt;=informatieblad!$I$12,informatieblad!$I$12,IF(N22&gt;=informatieblad!$I$12,N22))))</f>
        <v>0.5</v>
      </c>
      <c r="P22" s="112">
        <f>(((2*B20)+(2*C20))*D20)/1000000+(((B20-10)*(C20-10))/1000000)</f>
        <v>1E-4</v>
      </c>
      <c r="Q22" s="112">
        <f>((IF(P22&lt;=informatieblad!$H$12,informatieblad!$H$12,IF(P22&gt;=informatieblad!$H$12,P22))))</f>
        <v>1E-4</v>
      </c>
      <c r="R22" s="113">
        <f>(((Q22*X22)+(Q22*U22))*C22)+BD22</f>
        <v>5</v>
      </c>
      <c r="S22" s="114">
        <f>(((O22*W22)+(O22*V22))*C22)+(BE22)</f>
        <v>12</v>
      </c>
      <c r="T22" s="115" t="str">
        <f>G22</f>
        <v>Options None</v>
      </c>
      <c r="U22" s="116">
        <f>VLOOKUP(G22,informatieblad!$A$37:$D$41,2,FALSE)</f>
        <v>0</v>
      </c>
      <c r="V22" s="116">
        <f>VLOOKUP(G22,informatieblad!$A$37:$D$41,4,FALSE)</f>
        <v>0</v>
      </c>
      <c r="W22" s="117">
        <f>((IF(D20&lt;=900,AC22,IF(D20&gt;=900,AE22))))</f>
        <v>45.1248</v>
      </c>
      <c r="X22" s="118">
        <f>((IF(D20&lt;=900,AB22,IF(D20&gt;=900,AD22))))</f>
        <v>0</v>
      </c>
      <c r="Y22" s="119"/>
      <c r="Z22" s="119">
        <f>(MAX(B20:C20))</f>
        <v>0</v>
      </c>
      <c r="AA22" s="119">
        <f>LOOKUP(Z22,informatieblad!$C$27:$C$32,informatieblad!$A$27:$A$32)</f>
        <v>0.5</v>
      </c>
      <c r="AB22" s="118">
        <f>VLOOKUP(AA22,informatieblad!$A$27:$M$32,6,FALSE)</f>
        <v>0</v>
      </c>
      <c r="AC22" s="118">
        <f>VLOOKUP(AA22,informatieblad!$A$27:$M$32,8,FALSE)</f>
        <v>45.1248</v>
      </c>
      <c r="AD22" s="118">
        <f>VLOOKUP(AA22,informatieblad!$A$27:$M$32,9,FALSE)</f>
        <v>0</v>
      </c>
      <c r="AE22" s="118">
        <f>VLOOKUP(AA22,informatieblad!$A$27:$M$32,11,FALSE)</f>
        <v>32.463200000000001</v>
      </c>
      <c r="AF22" s="120">
        <f>VLOOKUP(AA22,informatieblad!$A$27:$M$32,13,FALSE)</f>
        <v>4</v>
      </c>
      <c r="AG22" s="121">
        <f>ROUND((AF22*P22),1)</f>
        <v>0</v>
      </c>
      <c r="AH22" s="64"/>
      <c r="AI22" s="111">
        <f>(IF(B21=AI20,((2*B20)+(2*C20)),IF(B21=AI21,((2*B20)+(2*C20)),0)))*C22</f>
        <v>0</v>
      </c>
      <c r="AJ22" s="261">
        <f>(IF(C21=AI20,((2*B20)+(2*C20)),IF(C21=AI21,((2*B20)+(2*C20)),0)))*C22</f>
        <v>0</v>
      </c>
      <c r="AK22" s="111">
        <f>(IF(B21=AK20,((2*B20)+(2*C20)),IF(B21=AK21,((2*B20)+(2*C20)),0)))*C22</f>
        <v>0</v>
      </c>
      <c r="AL22" s="260">
        <f>(IF(C21=AK20,((2*B20)+(2*C20)),IF(C21=AK21,((2*B20)+(2*C20)),0)))*C22</f>
        <v>0</v>
      </c>
      <c r="AM22" s="261">
        <f>(IF(B21=AM20,((2*B20)+(2*C20)),IF(B21=AM21,((2*B20)+(2*C20)),0)))*C22</f>
        <v>0</v>
      </c>
      <c r="AN22" s="260">
        <f>(IF(C21=AM20,((2*B20)+(2*C20)),IF(C21=AM21,((2*B20)+(2*C20)),0)))*C22</f>
        <v>0</v>
      </c>
      <c r="AO22" s="111">
        <f>(IF(B21=AO20,((2*B20)+(2*C20)),0))*C22</f>
        <v>0</v>
      </c>
      <c r="AP22" s="260">
        <f>(IF(C21=AO20,((2*B20)+(2*C20)),0))*C22</f>
        <v>0</v>
      </c>
      <c r="AQ22" s="64"/>
      <c r="AR22" s="268">
        <f>D20*C22</f>
        <v>0</v>
      </c>
      <c r="AS22" s="64"/>
      <c r="AT22" s="83" t="str">
        <f>'UC mounting materials '!$B$11</f>
        <v>Rail 41x41</v>
      </c>
      <c r="AU22" s="268">
        <f>IF(Z22&gt;999,(Z22+100),0)*C22</f>
        <v>0</v>
      </c>
      <c r="AV22" s="64"/>
      <c r="AW22" s="111" t="str">
        <f>IF(B21=informatieblad!$A$6,informatieblad!$B$6,IF(B21=informatieblad!$A$7,informatieblad!$B$7,IF(B21=informatieblad!$A$8,informatieblad!$B$8,IF(B21=informatieblad!$A$2,informatieblad!$B$2,IF(B21=informatieblad!$A$3,informatieblad!$B$3,IF(B21=informatieblad!$A$4,informatieblad!$B$4,IF(B21=informatieblad!$A$5,informatieblad!$B$5,"")))))))</f>
        <v/>
      </c>
      <c r="AX22" s="275" t="str">
        <f>IF(C21=informatieblad!$A$6,informatieblad!$B$6,IF(C21=informatieblad!$A$7,informatieblad!$B$7,IF(C21=informatieblad!$A$8,informatieblad!$B$8,IF(C21=informatieblad!$A$2,informatieblad!$B$2,IF(C21=informatieblad!$A$3,informatieblad!$B$3,IF(C21=informatieblad!$A$4,informatieblad!$B$4,IF(C21=informatieblad!$A$5,informatieblad!$B$5,"")))))))</f>
        <v/>
      </c>
      <c r="AY22" s="276">
        <f>IF(AW22=AY20,(4*C22),0)</f>
        <v>0</v>
      </c>
      <c r="AZ22" s="276">
        <f>IF(AX22=AY20,(4*C22),0)</f>
        <v>0</v>
      </c>
      <c r="BA22" s="276">
        <f>IF(AW22=BA20,(4*C22),0)</f>
        <v>0</v>
      </c>
      <c r="BB22" s="274">
        <f>IF(AX22=BA20,(4*C22),0)</f>
        <v>0</v>
      </c>
      <c r="BC22" s="83"/>
      <c r="BD22" s="374">
        <v>5</v>
      </c>
      <c r="BE22">
        <f>BD22*2.4</f>
        <v>12</v>
      </c>
    </row>
    <row r="23" spans="1:57" ht="5.0999999999999996" customHeight="1" thickBot="1">
      <c r="A23" s="88"/>
      <c r="B23" s="88"/>
      <c r="C23" s="88"/>
      <c r="D23" s="88"/>
      <c r="F23" s="88"/>
      <c r="G23" s="88"/>
      <c r="H23" s="88"/>
      <c r="I23" s="88"/>
      <c r="J23" s="8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83"/>
      <c r="AJ23" s="83"/>
      <c r="AK23" s="83"/>
      <c r="AL23" s="83"/>
      <c r="AM23" s="83"/>
      <c r="AN23" s="83"/>
      <c r="AO23" s="83"/>
      <c r="AP23" s="83"/>
      <c r="AQ23" s="64"/>
      <c r="AR23" s="83"/>
      <c r="AS23" s="64"/>
      <c r="AT23" s="64"/>
      <c r="AU23" s="83"/>
      <c r="AV23" s="64"/>
      <c r="AW23" s="83"/>
      <c r="AX23" s="83"/>
      <c r="AY23" s="83"/>
      <c r="AZ23" s="83"/>
      <c r="BA23" s="83"/>
      <c r="BB23" s="83"/>
      <c r="BC23" s="83"/>
    </row>
    <row r="24" spans="1:57" ht="15.75" customHeight="1" thickBot="1">
      <c r="A24" s="445"/>
      <c r="B24" s="96"/>
      <c r="C24" s="96"/>
      <c r="D24" s="96"/>
      <c r="E24" s="96"/>
      <c r="F24" s="421"/>
      <c r="G24" s="423" t="s">
        <v>181</v>
      </c>
      <c r="H24" s="424">
        <f>ROUND(((B24*C24)/1000000),2)</f>
        <v>0</v>
      </c>
      <c r="I24" s="425" t="s">
        <v>24</v>
      </c>
      <c r="J24" s="366" t="s">
        <v>20</v>
      </c>
      <c r="K24" s="64"/>
      <c r="L24" s="64"/>
      <c r="M24" s="97" t="s">
        <v>26</v>
      </c>
      <c r="N24" s="98" t="s">
        <v>27</v>
      </c>
      <c r="O24" s="98" t="s">
        <v>28</v>
      </c>
      <c r="P24" s="98" t="s">
        <v>27</v>
      </c>
      <c r="Q24" s="98" t="s">
        <v>28</v>
      </c>
      <c r="R24" s="98" t="s">
        <v>29</v>
      </c>
      <c r="S24" s="66" t="s">
        <v>30</v>
      </c>
      <c r="T24" s="99" t="s">
        <v>31</v>
      </c>
      <c r="U24" s="99"/>
      <c r="V24" s="99"/>
      <c r="W24" s="98" t="s">
        <v>32</v>
      </c>
      <c r="X24" s="98" t="s">
        <v>32</v>
      </c>
      <c r="Y24" s="98"/>
      <c r="Z24" s="98" t="s">
        <v>33</v>
      </c>
      <c r="AA24" s="100" t="s">
        <v>34</v>
      </c>
      <c r="AB24" s="98" t="s">
        <v>32</v>
      </c>
      <c r="AC24" s="98" t="s">
        <v>32</v>
      </c>
      <c r="AD24" s="98" t="s">
        <v>32</v>
      </c>
      <c r="AE24" s="98" t="s">
        <v>32</v>
      </c>
      <c r="AF24" s="98" t="s">
        <v>35</v>
      </c>
      <c r="AG24" s="101" t="s">
        <v>36</v>
      </c>
      <c r="AH24" s="64"/>
      <c r="AI24" s="97" t="str">
        <f>informatieblad!$A$6</f>
        <v>FL20</v>
      </c>
      <c r="AJ24" s="99"/>
      <c r="AK24" s="97" t="str">
        <f>informatieblad!$A$7</f>
        <v>FL30</v>
      </c>
      <c r="AL24" s="66"/>
      <c r="AM24" s="99" t="str">
        <f>informatieblad!$A$8</f>
        <v>FL40</v>
      </c>
      <c r="AN24" s="66"/>
      <c r="AO24" s="97" t="str">
        <f>informatieblad!$A$5</f>
        <v>none</v>
      </c>
      <c r="AP24" s="264"/>
      <c r="AQ24" s="64"/>
      <c r="AR24" s="266" t="s">
        <v>17</v>
      </c>
      <c r="AS24" s="64"/>
      <c r="AT24" s="64"/>
      <c r="AU24" s="266" t="s">
        <v>37</v>
      </c>
      <c r="AV24" s="64"/>
      <c r="AW24" s="269" t="s">
        <v>38</v>
      </c>
      <c r="AX24" s="272"/>
      <c r="AY24" s="272">
        <f>informatieblad!$B$3</f>
        <v>0</v>
      </c>
      <c r="AZ24" s="272">
        <f>informatieblad!$B$3</f>
        <v>0</v>
      </c>
      <c r="BA24" s="272">
        <f>informatieblad!$B$4</f>
        <v>0</v>
      </c>
      <c r="BB24" s="264">
        <f>informatieblad!$B$4</f>
        <v>0</v>
      </c>
      <c r="BC24" s="83"/>
      <c r="BD24" t="s">
        <v>182</v>
      </c>
    </row>
    <row r="25" spans="1:57" ht="15" customHeight="1">
      <c r="A25" s="467"/>
      <c r="B25" s="102" t="str">
        <f>IF($C26&gt;0,IF(MAX(B24:C24)&lt;informatieblad!$Q$4,informatieblad!$P$3,IF(MAX(B24:C24)&gt;informatieblad!$R$4,informatieblad!$P$5,informatieblad!$P$4)),"")</f>
        <v/>
      </c>
      <c r="C25" s="102" t="str">
        <f>IF($C26&gt;0,IF(MAX(B24:C24)&lt;informatieblad!$Q$4,informatieblad!$P$3,IF(MAX(B24:C24)&gt;informatieblad!$R$4,informatieblad!$P$5,informatieblad!$P$4)),"")</f>
        <v/>
      </c>
      <c r="D25" s="504"/>
      <c r="E25" s="527"/>
      <c r="F25" s="505" t="str">
        <f>A24&amp;"-"&amp;informatieblad!$B$21&amp;"-"&amp;B24&amp;"-"&amp;C24&amp;"-"&amp;D24&amp;"-"&amp;E24&amp;"-"&amp;B25&amp;"-"&amp;C25&amp;"-"&amp;G26</f>
        <v>-RctV-------Options None</v>
      </c>
      <c r="G25" s="528"/>
      <c r="H25" s="528"/>
      <c r="I25" s="529"/>
      <c r="J25" s="83"/>
      <c r="K25" s="64"/>
      <c r="L25" s="64"/>
      <c r="M25" s="103">
        <f>A24</f>
        <v>0</v>
      </c>
      <c r="N25" s="104" t="s">
        <v>39</v>
      </c>
      <c r="O25" s="104" t="s">
        <v>39</v>
      </c>
      <c r="P25" s="104" t="s">
        <v>40</v>
      </c>
      <c r="Q25" s="104" t="s">
        <v>40</v>
      </c>
      <c r="R25" s="104" t="s">
        <v>40</v>
      </c>
      <c r="S25" s="105"/>
      <c r="T25" s="106" t="s">
        <v>27</v>
      </c>
      <c r="U25" s="106" t="s">
        <v>40</v>
      </c>
      <c r="V25" s="106" t="s">
        <v>41</v>
      </c>
      <c r="W25" s="104" t="s">
        <v>42</v>
      </c>
      <c r="X25" s="104" t="s">
        <v>43</v>
      </c>
      <c r="Y25" s="104"/>
      <c r="Z25" s="104" t="s">
        <v>44</v>
      </c>
      <c r="AA25" s="107"/>
      <c r="AB25" s="104" t="s">
        <v>45</v>
      </c>
      <c r="AC25" s="104" t="s">
        <v>42</v>
      </c>
      <c r="AD25" s="104" t="s">
        <v>43</v>
      </c>
      <c r="AE25" s="104" t="s">
        <v>46</v>
      </c>
      <c r="AF25" s="108"/>
      <c r="AG25" s="109"/>
      <c r="AH25" s="64"/>
      <c r="AI25" s="262" t="str">
        <f>informatieblad!$A$2</f>
        <v>FL20 loose</v>
      </c>
      <c r="AJ25" s="263"/>
      <c r="AK25" s="262" t="str">
        <f>informatieblad!$A$3</f>
        <v>FL30 loose</v>
      </c>
      <c r="AL25" s="105"/>
      <c r="AM25" s="263" t="str">
        <f>informatieblad!$A$4</f>
        <v>FL40 loose</v>
      </c>
      <c r="AN25" s="105"/>
      <c r="AO25" s="265"/>
      <c r="AP25" s="105"/>
      <c r="AQ25" s="64"/>
      <c r="AR25" s="267"/>
      <c r="AS25" s="64"/>
      <c r="AT25" s="83" t="str">
        <f>'UC mounting materials '!$B$10</f>
        <v>Rail 30x15</v>
      </c>
      <c r="AU25" s="327">
        <f>IF(Z26&lt;1000,(Z26+100),0)*C26</f>
        <v>0</v>
      </c>
      <c r="AV25" s="64"/>
      <c r="AW25" s="265" t="s">
        <v>47</v>
      </c>
      <c r="AX25" s="106" t="s">
        <v>48</v>
      </c>
      <c r="AY25" s="83" t="s">
        <v>23</v>
      </c>
      <c r="AZ25" s="83" t="s">
        <v>23</v>
      </c>
      <c r="BA25" s="83" t="s">
        <v>23</v>
      </c>
      <c r="BB25" s="273" t="s">
        <v>23</v>
      </c>
      <c r="BC25" s="83"/>
      <c r="BD25" t="s">
        <v>40</v>
      </c>
      <c r="BE25" s="83" t="s">
        <v>41</v>
      </c>
    </row>
    <row r="26" spans="1:57" ht="15.75" customHeight="1" thickBot="1">
      <c r="A26" s="468"/>
      <c r="B26" s="371" t="s">
        <v>23</v>
      </c>
      <c r="C26" s="412"/>
      <c r="D26" s="94">
        <f>C26*O26</f>
        <v>0</v>
      </c>
      <c r="E26" s="422" t="s">
        <v>24</v>
      </c>
      <c r="F26" s="93"/>
      <c r="G26" s="451" t="s">
        <v>25</v>
      </c>
      <c r="H26" s="530"/>
      <c r="I26" s="531"/>
      <c r="J26" s="83"/>
      <c r="K26" s="64"/>
      <c r="L26" s="64"/>
      <c r="M26" s="111"/>
      <c r="N26" s="112">
        <f>(((2*(B24+C24))*D24)/1000000)+(((B24-10)*(C24-10))/1000000)</f>
        <v>1E-4</v>
      </c>
      <c r="O26" s="112">
        <f>((IF(N26&lt;=informatieblad!$I$12,informatieblad!$I$12,IF(N26&gt;=informatieblad!$I$12,N26))))</f>
        <v>0.5</v>
      </c>
      <c r="P26" s="112">
        <f>(((2*B24)+(2*C24))*D24)/1000000+(((B24-10)*(C24-10))/1000000)</f>
        <v>1E-4</v>
      </c>
      <c r="Q26" s="112">
        <f>((IF(P26&lt;=informatieblad!$H$12,informatieblad!$H$12,IF(P26&gt;=informatieblad!$H$12,P26))))</f>
        <v>1E-4</v>
      </c>
      <c r="R26" s="113">
        <f>(((Q26*X26)+(Q26*U26))*C26)+BD26</f>
        <v>5</v>
      </c>
      <c r="S26" s="114">
        <f>(((O26*W26)+(O26*V26))*C26)+(BE26)</f>
        <v>12</v>
      </c>
      <c r="T26" s="115" t="str">
        <f>G26</f>
        <v>Options None</v>
      </c>
      <c r="U26" s="116">
        <f>VLOOKUP(G26,informatieblad!$A$37:$D$41,2,FALSE)</f>
        <v>0</v>
      </c>
      <c r="V26" s="116">
        <f>VLOOKUP(G26,informatieblad!$A$37:$D$41,4,FALSE)</f>
        <v>0</v>
      </c>
      <c r="W26" s="117">
        <f>((IF(D24&lt;=900,AC26,IF(D24&gt;=900,AE26))))</f>
        <v>45.1248</v>
      </c>
      <c r="X26" s="118">
        <f>((IF(D24&lt;=900,AB26,IF(D24&gt;=900,AD26))))</f>
        <v>0</v>
      </c>
      <c r="Y26" s="119"/>
      <c r="Z26" s="119">
        <f>(MAX(B24:C24))</f>
        <v>0</v>
      </c>
      <c r="AA26" s="119">
        <f>LOOKUP(Z26,informatieblad!$C$27:$C$32,informatieblad!$A$27:$A$32)</f>
        <v>0.5</v>
      </c>
      <c r="AB26" s="118">
        <f>VLOOKUP(AA26,informatieblad!$A$27:$M$32,6,FALSE)</f>
        <v>0</v>
      </c>
      <c r="AC26" s="118">
        <f>VLOOKUP(AA26,informatieblad!$A$27:$M$32,8,FALSE)</f>
        <v>45.1248</v>
      </c>
      <c r="AD26" s="118">
        <f>VLOOKUP(AA26,informatieblad!$A$27:$M$32,9,FALSE)</f>
        <v>0</v>
      </c>
      <c r="AE26" s="118">
        <f>VLOOKUP(AA26,informatieblad!$A$27:$M$32,11,FALSE)</f>
        <v>32.463200000000001</v>
      </c>
      <c r="AF26" s="120">
        <f>VLOOKUP(AA26,informatieblad!$A$27:$M$32,13,FALSE)</f>
        <v>4</v>
      </c>
      <c r="AG26" s="121">
        <f>ROUND((AF26*P26),1)</f>
        <v>0</v>
      </c>
      <c r="AH26" s="64"/>
      <c r="AI26" s="111">
        <f>(IF(B25=AI24,((2*B24)+(2*C24)),IF(B25=AI25,((2*B24)+(2*C24)),0)))*C26</f>
        <v>0</v>
      </c>
      <c r="AJ26" s="261">
        <f>(IF(C25=AI24,((2*B24)+(2*C24)),IF(C25=AI25,((2*B24)+(2*C24)),0)))*C26</f>
        <v>0</v>
      </c>
      <c r="AK26" s="111">
        <f>(IF(B25=AK24,((2*B24)+(2*C24)),IF(B25=AK25,((2*B24)+(2*C24)),0)))*C26</f>
        <v>0</v>
      </c>
      <c r="AL26" s="260">
        <f>(IF(C25=AK24,((2*B24)+(2*C24)),IF(C25=AK25,((2*B24)+(2*C24)),0)))*C26</f>
        <v>0</v>
      </c>
      <c r="AM26" s="261">
        <f>(IF(B25=AM24,((2*B24)+(2*C24)),IF(B25=AM25,((2*B24)+(2*C24)),0)))*C26</f>
        <v>0</v>
      </c>
      <c r="AN26" s="260">
        <f>(IF(C25=AM24,((2*B24)+(2*C24)),IF(C25=AM25,((2*B24)+(2*C24)),0)))*C26</f>
        <v>0</v>
      </c>
      <c r="AO26" s="111">
        <f>(IF(B25=AO24,((2*B24)+(2*C24)),0))*C26</f>
        <v>0</v>
      </c>
      <c r="AP26" s="260">
        <f>(IF(C25=AO24,((2*B24)+(2*C24)),0))*C26</f>
        <v>0</v>
      </c>
      <c r="AQ26" s="64"/>
      <c r="AR26" s="268">
        <f>D24*C26</f>
        <v>0</v>
      </c>
      <c r="AS26" s="64"/>
      <c r="AT26" s="83" t="str">
        <f>'UC mounting materials '!$B$11</f>
        <v>Rail 41x41</v>
      </c>
      <c r="AU26" s="268">
        <f>IF(Z26&gt;999,(Z26+100),0)*C26</f>
        <v>0</v>
      </c>
      <c r="AV26" s="64"/>
      <c r="AW26" s="111" t="str">
        <f>IF(B25=informatieblad!$A$6,informatieblad!$B$6,IF(B25=informatieblad!$A$7,informatieblad!$B$7,IF(B25=informatieblad!$A$8,informatieblad!$B$8,IF(B25=informatieblad!$A$2,informatieblad!$B$2,IF(B25=informatieblad!$A$3,informatieblad!$B$3,IF(B25=informatieblad!$A$4,informatieblad!$B$4,IF(B25=informatieblad!$A$5,informatieblad!$B$5,"")))))))</f>
        <v/>
      </c>
      <c r="AX26" s="275" t="str">
        <f>IF(C25=informatieblad!$A$6,informatieblad!$B$6,IF(C25=informatieblad!$A$7,informatieblad!$B$7,IF(C25=informatieblad!$A$8,informatieblad!$B$8,IF(C25=informatieblad!$A$2,informatieblad!$B$2,IF(C25=informatieblad!$A$3,informatieblad!$B$3,IF(C25=informatieblad!$A$4,informatieblad!$B$4,IF(C25=informatieblad!$A$5,informatieblad!$B$5,"")))))))</f>
        <v/>
      </c>
      <c r="AY26" s="276">
        <f>IF(AW26=AY24,(4*C26),0)</f>
        <v>0</v>
      </c>
      <c r="AZ26" s="276">
        <f>IF(AX26=AY24,(4*C26),0)</f>
        <v>0</v>
      </c>
      <c r="BA26" s="276">
        <f>IF(AW26=BA24,(4*C26),0)</f>
        <v>0</v>
      </c>
      <c r="BB26" s="274">
        <f>IF(AX26=BA24,(4*C26),0)</f>
        <v>0</v>
      </c>
      <c r="BC26" s="83"/>
      <c r="BD26" s="374">
        <v>5</v>
      </c>
      <c r="BE26">
        <f>BD26*2.4</f>
        <v>12</v>
      </c>
    </row>
    <row r="27" spans="1:57" ht="5.0999999999999996" customHeight="1" thickBot="1">
      <c r="A27" s="88"/>
      <c r="B27" s="88"/>
      <c r="C27" s="88"/>
      <c r="D27" s="88"/>
      <c r="F27" s="88"/>
      <c r="G27" s="88"/>
      <c r="H27" s="88"/>
      <c r="I27" s="88"/>
      <c r="J27" s="8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83"/>
      <c r="AJ27" s="83"/>
      <c r="AK27" s="83"/>
      <c r="AL27" s="83"/>
      <c r="AM27" s="83"/>
      <c r="AN27" s="83"/>
      <c r="AO27" s="83"/>
      <c r="AP27" s="83"/>
      <c r="AQ27" s="64"/>
      <c r="AR27" s="83"/>
      <c r="AS27" s="64"/>
      <c r="AT27" s="64"/>
      <c r="AU27" s="83"/>
      <c r="AV27" s="64"/>
      <c r="AW27" s="83"/>
      <c r="AX27" s="83"/>
      <c r="AY27" s="83"/>
      <c r="AZ27" s="83"/>
      <c r="BA27" s="83"/>
      <c r="BB27" s="83"/>
      <c r="BC27" s="83"/>
    </row>
    <row r="28" spans="1:57" ht="15.75" customHeight="1" thickBot="1">
      <c r="A28" s="445"/>
      <c r="B28" s="96"/>
      <c r="C28" s="96"/>
      <c r="D28" s="96"/>
      <c r="E28" s="96"/>
      <c r="F28" s="421"/>
      <c r="G28" s="423" t="s">
        <v>181</v>
      </c>
      <c r="H28" s="424">
        <f>ROUND(((B28*C28)/1000000),2)</f>
        <v>0</v>
      </c>
      <c r="I28" s="425" t="s">
        <v>24</v>
      </c>
      <c r="J28" s="366" t="s">
        <v>20</v>
      </c>
      <c r="K28" s="64"/>
      <c r="L28" s="64"/>
      <c r="M28" s="97" t="s">
        <v>26</v>
      </c>
      <c r="N28" s="98" t="s">
        <v>27</v>
      </c>
      <c r="O28" s="98" t="s">
        <v>28</v>
      </c>
      <c r="P28" s="98" t="s">
        <v>27</v>
      </c>
      <c r="Q28" s="98" t="s">
        <v>28</v>
      </c>
      <c r="R28" s="98" t="s">
        <v>29</v>
      </c>
      <c r="S28" s="66" t="s">
        <v>30</v>
      </c>
      <c r="T28" s="99" t="s">
        <v>31</v>
      </c>
      <c r="U28" s="99"/>
      <c r="V28" s="99"/>
      <c r="W28" s="98" t="s">
        <v>32</v>
      </c>
      <c r="X28" s="98" t="s">
        <v>32</v>
      </c>
      <c r="Y28" s="98"/>
      <c r="Z28" s="98" t="s">
        <v>33</v>
      </c>
      <c r="AA28" s="100" t="s">
        <v>34</v>
      </c>
      <c r="AB28" s="98" t="s">
        <v>32</v>
      </c>
      <c r="AC28" s="98" t="s">
        <v>32</v>
      </c>
      <c r="AD28" s="98" t="s">
        <v>32</v>
      </c>
      <c r="AE28" s="98" t="s">
        <v>32</v>
      </c>
      <c r="AF28" s="98" t="s">
        <v>35</v>
      </c>
      <c r="AG28" s="101" t="s">
        <v>36</v>
      </c>
      <c r="AH28" s="64"/>
      <c r="AI28" s="97" t="str">
        <f>informatieblad!$A$6</f>
        <v>FL20</v>
      </c>
      <c r="AJ28" s="99"/>
      <c r="AK28" s="97" t="str">
        <f>informatieblad!$A$7</f>
        <v>FL30</v>
      </c>
      <c r="AL28" s="66"/>
      <c r="AM28" s="99" t="str">
        <f>informatieblad!$A$8</f>
        <v>FL40</v>
      </c>
      <c r="AN28" s="66"/>
      <c r="AO28" s="97" t="str">
        <f>informatieblad!$A$5</f>
        <v>none</v>
      </c>
      <c r="AP28" s="264"/>
      <c r="AQ28" s="64"/>
      <c r="AR28" s="266" t="s">
        <v>17</v>
      </c>
      <c r="AS28" s="64"/>
      <c r="AT28" s="64"/>
      <c r="AU28" s="266" t="s">
        <v>37</v>
      </c>
      <c r="AV28" s="64"/>
      <c r="AW28" s="269" t="s">
        <v>38</v>
      </c>
      <c r="AX28" s="272"/>
      <c r="AY28" s="272">
        <f>informatieblad!$B$3</f>
        <v>0</v>
      </c>
      <c r="AZ28" s="272">
        <f>informatieblad!$B$3</f>
        <v>0</v>
      </c>
      <c r="BA28" s="272">
        <f>informatieblad!$B$4</f>
        <v>0</v>
      </c>
      <c r="BB28" s="264">
        <f>informatieblad!$B$4</f>
        <v>0</v>
      </c>
      <c r="BC28" s="83"/>
      <c r="BD28" t="s">
        <v>182</v>
      </c>
    </row>
    <row r="29" spans="1:57" ht="15" customHeight="1">
      <c r="A29" s="467"/>
      <c r="B29" s="102" t="str">
        <f>IF($C30&gt;0,IF(MAX(B28:C28)&lt;informatieblad!$Q$4,informatieblad!$P$3,IF(MAX(B28:C28)&gt;informatieblad!$R$4,informatieblad!$P$5,informatieblad!$P$4)),"")</f>
        <v/>
      </c>
      <c r="C29" s="102" t="str">
        <f>IF($C30&gt;0,IF(MAX(B28:C28)&lt;informatieblad!$Q$4,informatieblad!$P$3,IF(MAX(B28:C28)&gt;informatieblad!$R$4,informatieblad!$P$5,informatieblad!$P$4)),"")</f>
        <v/>
      </c>
      <c r="D29" s="504"/>
      <c r="E29" s="527"/>
      <c r="F29" s="505" t="str">
        <f>A28&amp;"-"&amp;informatieblad!$B$21&amp;"-"&amp;B28&amp;"-"&amp;C28&amp;"-"&amp;D28&amp;"-"&amp;E28&amp;"-"&amp;B29&amp;"-"&amp;C29&amp;"-"&amp;G30</f>
        <v>-RctV-------Options None</v>
      </c>
      <c r="G29" s="528"/>
      <c r="H29" s="528"/>
      <c r="I29" s="529"/>
      <c r="J29" s="83"/>
      <c r="K29" s="64"/>
      <c r="L29" s="64"/>
      <c r="M29" s="103">
        <f t="shared" ref="M29" si="0">A28</f>
        <v>0</v>
      </c>
      <c r="N29" s="104" t="s">
        <v>39</v>
      </c>
      <c r="O29" s="104" t="s">
        <v>39</v>
      </c>
      <c r="P29" s="104" t="s">
        <v>40</v>
      </c>
      <c r="Q29" s="104" t="s">
        <v>40</v>
      </c>
      <c r="R29" s="104" t="s">
        <v>40</v>
      </c>
      <c r="S29" s="105"/>
      <c r="T29" s="106" t="s">
        <v>27</v>
      </c>
      <c r="U29" s="106" t="s">
        <v>40</v>
      </c>
      <c r="V29" s="106" t="s">
        <v>41</v>
      </c>
      <c r="W29" s="104" t="s">
        <v>42</v>
      </c>
      <c r="X29" s="104" t="s">
        <v>43</v>
      </c>
      <c r="Y29" s="104"/>
      <c r="Z29" s="104" t="s">
        <v>44</v>
      </c>
      <c r="AA29" s="107"/>
      <c r="AB29" s="104" t="s">
        <v>45</v>
      </c>
      <c r="AC29" s="104" t="s">
        <v>42</v>
      </c>
      <c r="AD29" s="104" t="s">
        <v>43</v>
      </c>
      <c r="AE29" s="104" t="s">
        <v>46</v>
      </c>
      <c r="AF29" s="108"/>
      <c r="AG29" s="109"/>
      <c r="AH29" s="64"/>
      <c r="AI29" s="262" t="str">
        <f>informatieblad!$A$2</f>
        <v>FL20 loose</v>
      </c>
      <c r="AJ29" s="263"/>
      <c r="AK29" s="262" t="str">
        <f>informatieblad!$A$3</f>
        <v>FL30 loose</v>
      </c>
      <c r="AL29" s="105"/>
      <c r="AM29" s="263" t="str">
        <f>informatieblad!$A$4</f>
        <v>FL40 loose</v>
      </c>
      <c r="AN29" s="105"/>
      <c r="AO29" s="265"/>
      <c r="AP29" s="105"/>
      <c r="AQ29" s="64"/>
      <c r="AR29" s="267"/>
      <c r="AS29" s="64"/>
      <c r="AT29" s="83" t="str">
        <f>'UC mounting materials '!$B$10</f>
        <v>Rail 30x15</v>
      </c>
      <c r="AU29" s="327">
        <f t="shared" ref="AU29" si="1">IF(Z30&lt;1000,(Z30+100),0)*C30</f>
        <v>0</v>
      </c>
      <c r="AV29" s="64"/>
      <c r="AW29" s="265" t="s">
        <v>47</v>
      </c>
      <c r="AX29" s="106" t="s">
        <v>48</v>
      </c>
      <c r="AY29" s="83" t="s">
        <v>23</v>
      </c>
      <c r="AZ29" s="83" t="s">
        <v>23</v>
      </c>
      <c r="BA29" s="83" t="s">
        <v>23</v>
      </c>
      <c r="BB29" s="273" t="s">
        <v>23</v>
      </c>
      <c r="BC29" s="83"/>
      <c r="BD29" t="s">
        <v>40</v>
      </c>
      <c r="BE29" s="83" t="s">
        <v>41</v>
      </c>
    </row>
    <row r="30" spans="1:57" ht="15.75" customHeight="1" thickBot="1">
      <c r="A30" s="468"/>
      <c r="B30" s="371" t="s">
        <v>23</v>
      </c>
      <c r="C30" s="412"/>
      <c r="D30" s="94">
        <f>C30*O30</f>
        <v>0</v>
      </c>
      <c r="E30" s="422" t="s">
        <v>24</v>
      </c>
      <c r="F30" s="93"/>
      <c r="G30" s="451" t="s">
        <v>25</v>
      </c>
      <c r="H30" s="530"/>
      <c r="I30" s="531"/>
      <c r="J30" s="83"/>
      <c r="K30" s="64"/>
      <c r="L30" s="64"/>
      <c r="M30" s="111"/>
      <c r="N30" s="112">
        <f t="shared" ref="N30" si="2">(((2*(B28+C28))*D28)/1000000)+(((B28-10)*(C28-10))/1000000)</f>
        <v>1E-4</v>
      </c>
      <c r="O30" s="112">
        <f>((IF(N30&lt;=informatieblad!$I$12,informatieblad!$I$12,IF(N30&gt;=informatieblad!$I$12,N30))))</f>
        <v>0.5</v>
      </c>
      <c r="P30" s="112">
        <f t="shared" ref="P30" si="3">(((2*B28)+(2*C28))*D28)/1000000+(((B28-10)*(C28-10))/1000000)</f>
        <v>1E-4</v>
      </c>
      <c r="Q30" s="112">
        <f>((IF(P30&lt;=informatieblad!$H$12,informatieblad!$H$12,IF(P30&gt;=informatieblad!$H$12,P30))))</f>
        <v>1E-4</v>
      </c>
      <c r="R30" s="113">
        <f t="shared" ref="R30" si="4">(((Q30*X30)+(Q30*U30))*C30)+BD30</f>
        <v>5</v>
      </c>
      <c r="S30" s="114">
        <f t="shared" ref="S30" si="5">(((O30*W30)+(O30*V30))*C30)+(BE30)</f>
        <v>12</v>
      </c>
      <c r="T30" s="115" t="str">
        <f t="shared" ref="T30" si="6">G30</f>
        <v>Options None</v>
      </c>
      <c r="U30" s="116">
        <f>VLOOKUP(G30,informatieblad!$A$37:$D$41,2,FALSE)</f>
        <v>0</v>
      </c>
      <c r="V30" s="116">
        <f>VLOOKUP(G30,informatieblad!$A$37:$D$41,4,FALSE)</f>
        <v>0</v>
      </c>
      <c r="W30" s="117">
        <f t="shared" ref="W30" si="7">((IF(D28&lt;=900,AC30,IF(D28&gt;=900,AE30))))</f>
        <v>45.1248</v>
      </c>
      <c r="X30" s="118">
        <f t="shared" ref="X30" si="8">((IF(D28&lt;=900,AB30,IF(D28&gt;=900,AD30))))</f>
        <v>0</v>
      </c>
      <c r="Y30" s="119"/>
      <c r="Z30" s="119">
        <f t="shared" ref="Z30" si="9">(MAX(B28:C28))</f>
        <v>0</v>
      </c>
      <c r="AA30" s="119">
        <f>LOOKUP(Z30,informatieblad!$C$27:$C$32,informatieblad!$A$27:$A$32)</f>
        <v>0.5</v>
      </c>
      <c r="AB30" s="118">
        <f>VLOOKUP(AA30,informatieblad!$A$27:$M$32,6,FALSE)</f>
        <v>0</v>
      </c>
      <c r="AC30" s="118">
        <f>VLOOKUP(AA30,informatieblad!$A$27:$M$32,8,FALSE)</f>
        <v>45.1248</v>
      </c>
      <c r="AD30" s="118">
        <f>VLOOKUP(AA30,informatieblad!$A$27:$M$32,9,FALSE)</f>
        <v>0</v>
      </c>
      <c r="AE30" s="118">
        <f>VLOOKUP(AA30,informatieblad!$A$27:$M$32,11,FALSE)</f>
        <v>32.463200000000001</v>
      </c>
      <c r="AF30" s="120">
        <f>VLOOKUP(AA30,informatieblad!$A$27:$M$32,13,FALSE)</f>
        <v>4</v>
      </c>
      <c r="AG30" s="121">
        <f t="shared" ref="AG30" si="10">ROUND((AF30*P30),1)</f>
        <v>0</v>
      </c>
      <c r="AH30" s="64"/>
      <c r="AI30" s="111">
        <f t="shared" ref="AI30" si="11">(IF(B29=AI28,((2*B28)+(2*C28)),IF(B29=AI29,((2*B28)+(2*C28)),0)))*C30</f>
        <v>0</v>
      </c>
      <c r="AJ30" s="261">
        <f t="shared" ref="AJ30" si="12">(IF(C29=AI28,((2*B28)+(2*C28)),IF(C29=AI29,((2*B28)+(2*C28)),0)))*C30</f>
        <v>0</v>
      </c>
      <c r="AK30" s="111">
        <f t="shared" ref="AK30" si="13">(IF(B29=AK28,((2*B28)+(2*C28)),IF(B29=AK29,((2*B28)+(2*C28)),0)))*C30</f>
        <v>0</v>
      </c>
      <c r="AL30" s="260">
        <f t="shared" ref="AL30" si="14">(IF(C29=AK28,((2*B28)+(2*C28)),IF(C29=AK29,((2*B28)+(2*C28)),0)))*C30</f>
        <v>0</v>
      </c>
      <c r="AM30" s="261">
        <f t="shared" ref="AM30" si="15">(IF(B29=AM28,((2*B28)+(2*C28)),IF(B29=AM29,((2*B28)+(2*C28)),0)))*C30</f>
        <v>0</v>
      </c>
      <c r="AN30" s="260">
        <f t="shared" ref="AN30" si="16">(IF(C29=AM28,((2*B28)+(2*C28)),IF(C29=AM29,((2*B28)+(2*C28)),0)))*C30</f>
        <v>0</v>
      </c>
      <c r="AO30" s="111">
        <f t="shared" ref="AO30" si="17">(IF(B29=AO28,((2*B28)+(2*C28)),0))*C30</f>
        <v>0</v>
      </c>
      <c r="AP30" s="260">
        <f t="shared" ref="AP30" si="18">(IF(C29=AO28,((2*B28)+(2*C28)),0))*C30</f>
        <v>0</v>
      </c>
      <c r="AQ30" s="64"/>
      <c r="AR30" s="268">
        <f t="shared" ref="AR30" si="19">D28*C30</f>
        <v>0</v>
      </c>
      <c r="AS30" s="64"/>
      <c r="AT30" s="83" t="str">
        <f>'UC mounting materials '!$B$11</f>
        <v>Rail 41x41</v>
      </c>
      <c r="AU30" s="268">
        <f t="shared" ref="AU30" si="20">IF(Z30&gt;999,(Z30+100),0)*C30</f>
        <v>0</v>
      </c>
      <c r="AV30" s="64"/>
      <c r="AW30" s="111" t="str">
        <f>IF(B29=informatieblad!$A$6,informatieblad!$B$6,IF(B29=informatieblad!$A$7,informatieblad!$B$7,IF(B29=informatieblad!$A$8,informatieblad!$B$8,IF(B29=informatieblad!$A$2,informatieblad!$B$2,IF(B29=informatieblad!$A$3,informatieblad!$B$3,IF(B29=informatieblad!$A$4,informatieblad!$B$4,IF(B29=informatieblad!$A$5,informatieblad!$B$5,"")))))))</f>
        <v/>
      </c>
      <c r="AX30" s="275" t="str">
        <f>IF(C29=informatieblad!$A$6,informatieblad!$B$6,IF(C29=informatieblad!$A$7,informatieblad!$B$7,IF(C29=informatieblad!$A$8,informatieblad!$B$8,IF(C29=informatieblad!$A$2,informatieblad!$B$2,IF(C29=informatieblad!$A$3,informatieblad!$B$3,IF(C29=informatieblad!$A$4,informatieblad!$B$4,IF(C29=informatieblad!$A$5,informatieblad!$B$5,"")))))))</f>
        <v/>
      </c>
      <c r="AY30" s="276">
        <f t="shared" ref="AY30" si="21">IF(AW30=AY28,(4*C30),0)</f>
        <v>0</v>
      </c>
      <c r="AZ30" s="276">
        <f t="shared" ref="AZ30" si="22">IF(AX30=AY28,(4*C30),0)</f>
        <v>0</v>
      </c>
      <c r="BA30" s="276">
        <f t="shared" ref="BA30" si="23">IF(AW30=BA28,(4*C30),0)</f>
        <v>0</v>
      </c>
      <c r="BB30" s="274">
        <f t="shared" ref="BB30" si="24">IF(AX30=BA28,(4*C30),0)</f>
        <v>0</v>
      </c>
      <c r="BC30" s="83"/>
      <c r="BD30" s="374">
        <v>5</v>
      </c>
      <c r="BE30">
        <f t="shared" ref="BE30" si="25">BD30*2.4</f>
        <v>12</v>
      </c>
    </row>
    <row r="31" spans="1:57" ht="5.0999999999999996" customHeight="1" thickBot="1">
      <c r="A31" s="88"/>
      <c r="B31" s="88"/>
      <c r="C31" s="88"/>
      <c r="D31" s="88"/>
      <c r="F31" s="88"/>
      <c r="G31" s="88"/>
      <c r="H31" s="88"/>
      <c r="I31" s="88"/>
      <c r="J31" s="83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83"/>
      <c r="AJ31" s="83"/>
      <c r="AK31" s="83"/>
      <c r="AL31" s="83"/>
      <c r="AM31" s="83"/>
      <c r="AN31" s="83"/>
      <c r="AO31" s="83"/>
      <c r="AP31" s="83"/>
      <c r="AQ31" s="64"/>
      <c r="AR31" s="83"/>
      <c r="AS31" s="64"/>
      <c r="AT31" s="64"/>
      <c r="AU31" s="83"/>
      <c r="AV31" s="64"/>
      <c r="AW31" s="83"/>
      <c r="AX31" s="83"/>
      <c r="AY31" s="83"/>
      <c r="AZ31" s="83"/>
      <c r="BA31" s="83"/>
      <c r="BB31" s="83"/>
      <c r="BC31" s="83"/>
    </row>
    <row r="32" spans="1:57" ht="15.75" customHeight="1" thickBot="1">
      <c r="A32" s="445"/>
      <c r="B32" s="96"/>
      <c r="C32" s="96"/>
      <c r="D32" s="96"/>
      <c r="E32" s="96"/>
      <c r="F32" s="421"/>
      <c r="G32" s="423" t="s">
        <v>181</v>
      </c>
      <c r="H32" s="424">
        <f>ROUND(((B32*C32)/1000000),2)</f>
        <v>0</v>
      </c>
      <c r="I32" s="425" t="s">
        <v>24</v>
      </c>
      <c r="J32" s="366" t="s">
        <v>20</v>
      </c>
      <c r="K32" s="64"/>
      <c r="L32" s="64"/>
      <c r="M32" s="97" t="s">
        <v>26</v>
      </c>
      <c r="N32" s="98" t="s">
        <v>27</v>
      </c>
      <c r="O32" s="98" t="s">
        <v>28</v>
      </c>
      <c r="P32" s="98" t="s">
        <v>27</v>
      </c>
      <c r="Q32" s="98" t="s">
        <v>28</v>
      </c>
      <c r="R32" s="98" t="s">
        <v>29</v>
      </c>
      <c r="S32" s="66" t="s">
        <v>30</v>
      </c>
      <c r="T32" s="99" t="s">
        <v>31</v>
      </c>
      <c r="U32" s="99"/>
      <c r="V32" s="99"/>
      <c r="W32" s="98" t="s">
        <v>32</v>
      </c>
      <c r="X32" s="98" t="s">
        <v>32</v>
      </c>
      <c r="Y32" s="98"/>
      <c r="Z32" s="98" t="s">
        <v>33</v>
      </c>
      <c r="AA32" s="100" t="s">
        <v>34</v>
      </c>
      <c r="AB32" s="98" t="s">
        <v>32</v>
      </c>
      <c r="AC32" s="98" t="s">
        <v>32</v>
      </c>
      <c r="AD32" s="98" t="s">
        <v>32</v>
      </c>
      <c r="AE32" s="98" t="s">
        <v>32</v>
      </c>
      <c r="AF32" s="98" t="s">
        <v>35</v>
      </c>
      <c r="AG32" s="101" t="s">
        <v>36</v>
      </c>
      <c r="AH32" s="64"/>
      <c r="AI32" s="97" t="str">
        <f>informatieblad!$A$6</f>
        <v>FL20</v>
      </c>
      <c r="AJ32" s="99"/>
      <c r="AK32" s="97" t="str">
        <f>informatieblad!$A$7</f>
        <v>FL30</v>
      </c>
      <c r="AL32" s="66"/>
      <c r="AM32" s="99" t="str">
        <f>informatieblad!$A$8</f>
        <v>FL40</v>
      </c>
      <c r="AN32" s="66"/>
      <c r="AO32" s="97" t="str">
        <f>informatieblad!$A$5</f>
        <v>none</v>
      </c>
      <c r="AP32" s="264"/>
      <c r="AQ32" s="64"/>
      <c r="AR32" s="266" t="s">
        <v>17</v>
      </c>
      <c r="AS32" s="64"/>
      <c r="AT32" s="64"/>
      <c r="AU32" s="266" t="s">
        <v>37</v>
      </c>
      <c r="AV32" s="64"/>
      <c r="AW32" s="269" t="s">
        <v>38</v>
      </c>
      <c r="AX32" s="272"/>
      <c r="AY32" s="272">
        <f>informatieblad!$B$3</f>
        <v>0</v>
      </c>
      <c r="AZ32" s="272">
        <f>informatieblad!$B$3</f>
        <v>0</v>
      </c>
      <c r="BA32" s="272">
        <f>informatieblad!$B$4</f>
        <v>0</v>
      </c>
      <c r="BB32" s="264">
        <f>informatieblad!$B$4</f>
        <v>0</v>
      </c>
      <c r="BC32" s="83"/>
      <c r="BD32" t="s">
        <v>182</v>
      </c>
    </row>
    <row r="33" spans="1:57" ht="15" customHeight="1">
      <c r="A33" s="467"/>
      <c r="B33" s="102" t="str">
        <f>IF($C34&gt;0,IF(MAX(B32:C32)&lt;informatieblad!$Q$4,informatieblad!$P$3,IF(MAX(B32:C32)&gt;informatieblad!$R$4,informatieblad!$P$5,informatieblad!$P$4)),"")</f>
        <v/>
      </c>
      <c r="C33" s="102" t="str">
        <f>IF($C34&gt;0,IF(MAX(B32:C32)&lt;informatieblad!$Q$4,informatieblad!$P$3,IF(MAX(B32:C32)&gt;informatieblad!$R$4,informatieblad!$P$5,informatieblad!$P$4)),"")</f>
        <v/>
      </c>
      <c r="D33" s="504"/>
      <c r="E33" s="527"/>
      <c r="F33" s="505" t="str">
        <f>A32&amp;"-"&amp;informatieblad!$B$21&amp;"-"&amp;B32&amp;"-"&amp;C32&amp;"-"&amp;D32&amp;"-"&amp;E32&amp;"-"&amp;B33&amp;"-"&amp;C33&amp;"-"&amp;G34</f>
        <v>-RctV-------Options None</v>
      </c>
      <c r="G33" s="528"/>
      <c r="H33" s="528"/>
      <c r="I33" s="529"/>
      <c r="J33" s="83"/>
      <c r="K33" s="64"/>
      <c r="L33" s="64"/>
      <c r="M33" s="103">
        <f t="shared" ref="M33" si="26">A32</f>
        <v>0</v>
      </c>
      <c r="N33" s="104" t="s">
        <v>39</v>
      </c>
      <c r="O33" s="104" t="s">
        <v>39</v>
      </c>
      <c r="P33" s="104" t="s">
        <v>40</v>
      </c>
      <c r="Q33" s="104" t="s">
        <v>40</v>
      </c>
      <c r="R33" s="104" t="s">
        <v>40</v>
      </c>
      <c r="S33" s="105"/>
      <c r="T33" s="106" t="s">
        <v>27</v>
      </c>
      <c r="U33" s="106" t="s">
        <v>40</v>
      </c>
      <c r="V33" s="106" t="s">
        <v>41</v>
      </c>
      <c r="W33" s="104" t="s">
        <v>42</v>
      </c>
      <c r="X33" s="104" t="s">
        <v>43</v>
      </c>
      <c r="Y33" s="104"/>
      <c r="Z33" s="104" t="s">
        <v>44</v>
      </c>
      <c r="AA33" s="107"/>
      <c r="AB33" s="104" t="s">
        <v>45</v>
      </c>
      <c r="AC33" s="104" t="s">
        <v>42</v>
      </c>
      <c r="AD33" s="104" t="s">
        <v>43</v>
      </c>
      <c r="AE33" s="104" t="s">
        <v>46</v>
      </c>
      <c r="AF33" s="108"/>
      <c r="AG33" s="109"/>
      <c r="AH33" s="64"/>
      <c r="AI33" s="262" t="str">
        <f>informatieblad!$A$2</f>
        <v>FL20 loose</v>
      </c>
      <c r="AJ33" s="263"/>
      <c r="AK33" s="262" t="str">
        <f>informatieblad!$A$3</f>
        <v>FL30 loose</v>
      </c>
      <c r="AL33" s="105"/>
      <c r="AM33" s="263" t="str">
        <f>informatieblad!$A$4</f>
        <v>FL40 loose</v>
      </c>
      <c r="AN33" s="105"/>
      <c r="AO33" s="265"/>
      <c r="AP33" s="105"/>
      <c r="AQ33" s="64"/>
      <c r="AR33" s="267"/>
      <c r="AS33" s="64"/>
      <c r="AT33" s="83" t="str">
        <f>'UC mounting materials '!$B$10</f>
        <v>Rail 30x15</v>
      </c>
      <c r="AU33" s="327">
        <f t="shared" ref="AU33" si="27">IF(Z34&lt;1000,(Z34+100),0)*C34</f>
        <v>0</v>
      </c>
      <c r="AV33" s="64"/>
      <c r="AW33" s="265" t="s">
        <v>47</v>
      </c>
      <c r="AX33" s="106" t="s">
        <v>48</v>
      </c>
      <c r="AY33" s="83" t="s">
        <v>23</v>
      </c>
      <c r="AZ33" s="83" t="s">
        <v>23</v>
      </c>
      <c r="BA33" s="83" t="s">
        <v>23</v>
      </c>
      <c r="BB33" s="273" t="s">
        <v>23</v>
      </c>
      <c r="BC33" s="83"/>
      <c r="BD33" t="s">
        <v>40</v>
      </c>
      <c r="BE33" s="83" t="s">
        <v>41</v>
      </c>
    </row>
    <row r="34" spans="1:57" ht="15.75" customHeight="1" thickBot="1">
      <c r="A34" s="468"/>
      <c r="B34" s="371" t="s">
        <v>23</v>
      </c>
      <c r="C34" s="412"/>
      <c r="D34" s="94">
        <f>C34*O34</f>
        <v>0</v>
      </c>
      <c r="E34" s="422" t="s">
        <v>24</v>
      </c>
      <c r="F34" s="93"/>
      <c r="G34" s="451" t="s">
        <v>25</v>
      </c>
      <c r="H34" s="530"/>
      <c r="I34" s="531"/>
      <c r="J34" s="83"/>
      <c r="K34" s="64"/>
      <c r="L34" s="64"/>
      <c r="M34" s="111"/>
      <c r="N34" s="112">
        <f t="shared" ref="N34" si="28">(((2*(B32+C32))*D32)/1000000)+(((B32-10)*(C32-10))/1000000)</f>
        <v>1E-4</v>
      </c>
      <c r="O34" s="112">
        <f>((IF(N34&lt;=informatieblad!$I$12,informatieblad!$I$12,IF(N34&gt;=informatieblad!$I$12,N34))))</f>
        <v>0.5</v>
      </c>
      <c r="P34" s="112">
        <f t="shared" ref="P34" si="29">(((2*B32)+(2*C32))*D32)/1000000+(((B32-10)*(C32-10))/1000000)</f>
        <v>1E-4</v>
      </c>
      <c r="Q34" s="112">
        <f>((IF(P34&lt;=informatieblad!$H$12,informatieblad!$H$12,IF(P34&gt;=informatieblad!$H$12,P34))))</f>
        <v>1E-4</v>
      </c>
      <c r="R34" s="113">
        <f t="shared" ref="R34" si="30">(((Q34*X34)+(Q34*U34))*C34)+BD34</f>
        <v>5</v>
      </c>
      <c r="S34" s="114">
        <f t="shared" ref="S34" si="31">(((O34*W34)+(O34*V34))*C34)+(BE34)</f>
        <v>12</v>
      </c>
      <c r="T34" s="115" t="str">
        <f t="shared" ref="T34" si="32">G34</f>
        <v>Options None</v>
      </c>
      <c r="U34" s="116">
        <f>VLOOKUP(G34,informatieblad!$A$37:$D$41,2,FALSE)</f>
        <v>0</v>
      </c>
      <c r="V34" s="116">
        <f>VLOOKUP(G34,informatieblad!$A$37:$D$41,4,FALSE)</f>
        <v>0</v>
      </c>
      <c r="W34" s="117">
        <f t="shared" ref="W34" si="33">((IF(D32&lt;=900,AC34,IF(D32&gt;=900,AE34))))</f>
        <v>45.1248</v>
      </c>
      <c r="X34" s="118">
        <f t="shared" ref="X34" si="34">((IF(D32&lt;=900,AB34,IF(D32&gt;=900,AD34))))</f>
        <v>0</v>
      </c>
      <c r="Y34" s="119"/>
      <c r="Z34" s="119">
        <f t="shared" ref="Z34" si="35">(MAX(B32:C32))</f>
        <v>0</v>
      </c>
      <c r="AA34" s="119">
        <f>LOOKUP(Z34,informatieblad!$C$27:$C$32,informatieblad!$A$27:$A$32)</f>
        <v>0.5</v>
      </c>
      <c r="AB34" s="118">
        <f>VLOOKUP(AA34,informatieblad!$A$27:$M$32,6,FALSE)</f>
        <v>0</v>
      </c>
      <c r="AC34" s="118">
        <f>VLOOKUP(AA34,informatieblad!$A$27:$M$32,8,FALSE)</f>
        <v>45.1248</v>
      </c>
      <c r="AD34" s="118">
        <f>VLOOKUP(AA34,informatieblad!$A$27:$M$32,9,FALSE)</f>
        <v>0</v>
      </c>
      <c r="AE34" s="118">
        <f>VLOOKUP(AA34,informatieblad!$A$27:$M$32,11,FALSE)</f>
        <v>32.463200000000001</v>
      </c>
      <c r="AF34" s="120">
        <f>VLOOKUP(AA34,informatieblad!$A$27:$M$32,13,FALSE)</f>
        <v>4</v>
      </c>
      <c r="AG34" s="121">
        <f t="shared" ref="AG34" si="36">ROUND((AF34*P34),1)</f>
        <v>0</v>
      </c>
      <c r="AH34" s="64"/>
      <c r="AI34" s="111">
        <f t="shared" ref="AI34" si="37">(IF(B33=AI32,((2*B32)+(2*C32)),IF(B33=AI33,((2*B32)+(2*C32)),0)))*C34</f>
        <v>0</v>
      </c>
      <c r="AJ34" s="261">
        <f t="shared" ref="AJ34" si="38">(IF(C33=AI32,((2*B32)+(2*C32)),IF(C33=AI33,((2*B32)+(2*C32)),0)))*C34</f>
        <v>0</v>
      </c>
      <c r="AK34" s="111">
        <f t="shared" ref="AK34" si="39">(IF(B33=AK32,((2*B32)+(2*C32)),IF(B33=AK33,((2*B32)+(2*C32)),0)))*C34</f>
        <v>0</v>
      </c>
      <c r="AL34" s="260">
        <f t="shared" ref="AL34" si="40">(IF(C33=AK32,((2*B32)+(2*C32)),IF(C33=AK33,((2*B32)+(2*C32)),0)))*C34</f>
        <v>0</v>
      </c>
      <c r="AM34" s="261">
        <f t="shared" ref="AM34" si="41">(IF(B33=AM32,((2*B32)+(2*C32)),IF(B33=AM33,((2*B32)+(2*C32)),0)))*C34</f>
        <v>0</v>
      </c>
      <c r="AN34" s="260">
        <f t="shared" ref="AN34" si="42">(IF(C33=AM32,((2*B32)+(2*C32)),IF(C33=AM33,((2*B32)+(2*C32)),0)))*C34</f>
        <v>0</v>
      </c>
      <c r="AO34" s="111">
        <f t="shared" ref="AO34" si="43">(IF(B33=AO32,((2*B32)+(2*C32)),0))*C34</f>
        <v>0</v>
      </c>
      <c r="AP34" s="260">
        <f t="shared" ref="AP34" si="44">(IF(C33=AO32,((2*B32)+(2*C32)),0))*C34</f>
        <v>0</v>
      </c>
      <c r="AQ34" s="64"/>
      <c r="AR34" s="268">
        <f t="shared" ref="AR34" si="45">D32*C34</f>
        <v>0</v>
      </c>
      <c r="AS34" s="64"/>
      <c r="AT34" s="83" t="str">
        <f>'UC mounting materials '!$B$11</f>
        <v>Rail 41x41</v>
      </c>
      <c r="AU34" s="268">
        <f t="shared" ref="AU34" si="46">IF(Z34&gt;999,(Z34+100),0)*C34</f>
        <v>0</v>
      </c>
      <c r="AV34" s="64"/>
      <c r="AW34" s="111" t="str">
        <f>IF(B33=informatieblad!$A$6,informatieblad!$B$6,IF(B33=informatieblad!$A$7,informatieblad!$B$7,IF(B33=informatieblad!$A$8,informatieblad!$B$8,IF(B33=informatieblad!$A$2,informatieblad!$B$2,IF(B33=informatieblad!$A$3,informatieblad!$B$3,IF(B33=informatieblad!$A$4,informatieblad!$B$4,IF(B33=informatieblad!$A$5,informatieblad!$B$5,"")))))))</f>
        <v/>
      </c>
      <c r="AX34" s="275" t="str">
        <f>IF(C33=informatieblad!$A$6,informatieblad!$B$6,IF(C33=informatieblad!$A$7,informatieblad!$B$7,IF(C33=informatieblad!$A$8,informatieblad!$B$8,IF(C33=informatieblad!$A$2,informatieblad!$B$2,IF(C33=informatieblad!$A$3,informatieblad!$B$3,IF(C33=informatieblad!$A$4,informatieblad!$B$4,IF(C33=informatieblad!$A$5,informatieblad!$B$5,"")))))))</f>
        <v/>
      </c>
      <c r="AY34" s="276">
        <f t="shared" ref="AY34" si="47">IF(AW34=AY32,(4*C34),0)</f>
        <v>0</v>
      </c>
      <c r="AZ34" s="276">
        <f t="shared" ref="AZ34" si="48">IF(AX34=AY32,(4*C34),0)</f>
        <v>0</v>
      </c>
      <c r="BA34" s="276">
        <f t="shared" ref="BA34" si="49">IF(AW34=BA32,(4*C34),0)</f>
        <v>0</v>
      </c>
      <c r="BB34" s="274">
        <f t="shared" ref="BB34" si="50">IF(AX34=BA32,(4*C34),0)</f>
        <v>0</v>
      </c>
      <c r="BC34" s="83"/>
      <c r="BD34" s="374">
        <v>5</v>
      </c>
      <c r="BE34">
        <f t="shared" ref="BE34" si="51">BD34*2.4</f>
        <v>12</v>
      </c>
    </row>
    <row r="35" spans="1:57" ht="5.0999999999999996" customHeight="1" thickBot="1">
      <c r="A35" s="88"/>
      <c r="B35" s="88"/>
      <c r="C35" s="88"/>
      <c r="D35" s="88"/>
      <c r="F35" s="88"/>
      <c r="G35" s="88"/>
      <c r="H35" s="88"/>
      <c r="I35" s="88"/>
      <c r="J35" s="8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83"/>
      <c r="AJ35" s="83"/>
      <c r="AK35" s="83"/>
      <c r="AL35" s="83"/>
      <c r="AM35" s="83"/>
      <c r="AN35" s="83"/>
      <c r="AO35" s="83"/>
      <c r="AP35" s="83"/>
      <c r="AQ35" s="64"/>
      <c r="AR35" s="83"/>
      <c r="AS35" s="64"/>
      <c r="AT35" s="64"/>
      <c r="AU35" s="83"/>
      <c r="AV35" s="64"/>
      <c r="AW35" s="83"/>
      <c r="AX35" s="83"/>
      <c r="AY35" s="83"/>
      <c r="AZ35" s="83"/>
      <c r="BA35" s="83"/>
      <c r="BB35" s="83"/>
      <c r="BC35" s="83"/>
    </row>
    <row r="36" spans="1:57" ht="15.75" customHeight="1" thickBot="1">
      <c r="A36" s="445"/>
      <c r="B36" s="96"/>
      <c r="C36" s="96"/>
      <c r="D36" s="96"/>
      <c r="E36" s="96"/>
      <c r="F36" s="421"/>
      <c r="G36" s="423" t="s">
        <v>181</v>
      </c>
      <c r="H36" s="424">
        <f>ROUND(((B36*C36)/1000000),2)</f>
        <v>0</v>
      </c>
      <c r="I36" s="425" t="s">
        <v>24</v>
      </c>
      <c r="J36" s="366" t="s">
        <v>20</v>
      </c>
      <c r="K36" s="64"/>
      <c r="L36" s="64"/>
      <c r="M36" s="97" t="s">
        <v>26</v>
      </c>
      <c r="N36" s="98" t="s">
        <v>27</v>
      </c>
      <c r="O36" s="98" t="s">
        <v>28</v>
      </c>
      <c r="P36" s="98" t="s">
        <v>27</v>
      </c>
      <c r="Q36" s="98" t="s">
        <v>28</v>
      </c>
      <c r="R36" s="98" t="s">
        <v>29</v>
      </c>
      <c r="S36" s="66" t="s">
        <v>30</v>
      </c>
      <c r="T36" s="99" t="s">
        <v>31</v>
      </c>
      <c r="U36" s="99"/>
      <c r="V36" s="99"/>
      <c r="W36" s="98" t="s">
        <v>32</v>
      </c>
      <c r="X36" s="98" t="s">
        <v>32</v>
      </c>
      <c r="Y36" s="98"/>
      <c r="Z36" s="98" t="s">
        <v>33</v>
      </c>
      <c r="AA36" s="100" t="s">
        <v>34</v>
      </c>
      <c r="AB36" s="98" t="s">
        <v>32</v>
      </c>
      <c r="AC36" s="98" t="s">
        <v>32</v>
      </c>
      <c r="AD36" s="98" t="s">
        <v>32</v>
      </c>
      <c r="AE36" s="98" t="s">
        <v>32</v>
      </c>
      <c r="AF36" s="98" t="s">
        <v>35</v>
      </c>
      <c r="AG36" s="101" t="s">
        <v>36</v>
      </c>
      <c r="AH36" s="64"/>
      <c r="AI36" s="97" t="str">
        <f>informatieblad!$A$6</f>
        <v>FL20</v>
      </c>
      <c r="AJ36" s="99"/>
      <c r="AK36" s="97" t="str">
        <f>informatieblad!$A$7</f>
        <v>FL30</v>
      </c>
      <c r="AL36" s="66"/>
      <c r="AM36" s="99" t="str">
        <f>informatieblad!$A$8</f>
        <v>FL40</v>
      </c>
      <c r="AN36" s="66"/>
      <c r="AO36" s="97" t="str">
        <f>informatieblad!$A$5</f>
        <v>none</v>
      </c>
      <c r="AP36" s="264"/>
      <c r="AQ36" s="64"/>
      <c r="AR36" s="266" t="s">
        <v>17</v>
      </c>
      <c r="AS36" s="64"/>
      <c r="AT36" s="64"/>
      <c r="AU36" s="266" t="s">
        <v>37</v>
      </c>
      <c r="AV36" s="64"/>
      <c r="AW36" s="269" t="s">
        <v>38</v>
      </c>
      <c r="AX36" s="272"/>
      <c r="AY36" s="272">
        <f>informatieblad!$B$3</f>
        <v>0</v>
      </c>
      <c r="AZ36" s="272">
        <f>informatieblad!$B$3</f>
        <v>0</v>
      </c>
      <c r="BA36" s="272">
        <f>informatieblad!$B$4</f>
        <v>0</v>
      </c>
      <c r="BB36" s="264">
        <f>informatieblad!$B$4</f>
        <v>0</v>
      </c>
      <c r="BC36" s="83"/>
      <c r="BD36" t="s">
        <v>182</v>
      </c>
    </row>
    <row r="37" spans="1:57" ht="15" customHeight="1">
      <c r="A37" s="467"/>
      <c r="B37" s="102" t="str">
        <f>IF($C38&gt;0,IF(MAX(B36:C36)&lt;informatieblad!$Q$4,informatieblad!$P$3,IF(MAX(B36:C36)&gt;informatieblad!$R$4,informatieblad!$P$5,informatieblad!$P$4)),"")</f>
        <v/>
      </c>
      <c r="C37" s="102" t="str">
        <f>IF($C38&gt;0,IF(MAX(B36:C36)&lt;informatieblad!$Q$4,informatieblad!$P$3,IF(MAX(B36:C36)&gt;informatieblad!$R$4,informatieblad!$P$5,informatieblad!$P$4)),"")</f>
        <v/>
      </c>
      <c r="D37" s="504"/>
      <c r="E37" s="527"/>
      <c r="F37" s="505" t="str">
        <f>A36&amp;"-"&amp;informatieblad!$B$21&amp;"-"&amp;B36&amp;"-"&amp;C36&amp;"-"&amp;D36&amp;"-"&amp;E36&amp;"-"&amp;B37&amp;"-"&amp;C37&amp;"-"&amp;G38</f>
        <v>-RctV-------Options None</v>
      </c>
      <c r="G37" s="528"/>
      <c r="H37" s="528"/>
      <c r="I37" s="529"/>
      <c r="J37" s="83"/>
      <c r="K37" s="64"/>
      <c r="L37" s="64"/>
      <c r="M37" s="103">
        <f t="shared" ref="M37" si="52">A36</f>
        <v>0</v>
      </c>
      <c r="N37" s="104" t="s">
        <v>39</v>
      </c>
      <c r="O37" s="104" t="s">
        <v>39</v>
      </c>
      <c r="P37" s="104" t="s">
        <v>40</v>
      </c>
      <c r="Q37" s="104" t="s">
        <v>40</v>
      </c>
      <c r="R37" s="104" t="s">
        <v>40</v>
      </c>
      <c r="S37" s="105"/>
      <c r="T37" s="106" t="s">
        <v>27</v>
      </c>
      <c r="U37" s="106" t="s">
        <v>40</v>
      </c>
      <c r="V37" s="106" t="s">
        <v>41</v>
      </c>
      <c r="W37" s="104" t="s">
        <v>42</v>
      </c>
      <c r="X37" s="104" t="s">
        <v>43</v>
      </c>
      <c r="Y37" s="104"/>
      <c r="Z37" s="104" t="s">
        <v>44</v>
      </c>
      <c r="AA37" s="107"/>
      <c r="AB37" s="104" t="s">
        <v>45</v>
      </c>
      <c r="AC37" s="104" t="s">
        <v>42</v>
      </c>
      <c r="AD37" s="104" t="s">
        <v>43</v>
      </c>
      <c r="AE37" s="104" t="s">
        <v>46</v>
      </c>
      <c r="AF37" s="108"/>
      <c r="AG37" s="109"/>
      <c r="AH37" s="64"/>
      <c r="AI37" s="262" t="str">
        <f>informatieblad!$A$2</f>
        <v>FL20 loose</v>
      </c>
      <c r="AJ37" s="263"/>
      <c r="AK37" s="262" t="str">
        <f>informatieblad!$A$3</f>
        <v>FL30 loose</v>
      </c>
      <c r="AL37" s="105"/>
      <c r="AM37" s="263" t="str">
        <f>informatieblad!$A$4</f>
        <v>FL40 loose</v>
      </c>
      <c r="AN37" s="105"/>
      <c r="AO37" s="265"/>
      <c r="AP37" s="105"/>
      <c r="AQ37" s="64"/>
      <c r="AR37" s="267"/>
      <c r="AS37" s="64"/>
      <c r="AT37" s="83" t="str">
        <f>'UC mounting materials '!$B$10</f>
        <v>Rail 30x15</v>
      </c>
      <c r="AU37" s="327">
        <f t="shared" ref="AU37" si="53">IF(Z38&lt;1000,(Z38+100),0)*C38</f>
        <v>0</v>
      </c>
      <c r="AV37" s="64"/>
      <c r="AW37" s="265" t="s">
        <v>47</v>
      </c>
      <c r="AX37" s="106" t="s">
        <v>48</v>
      </c>
      <c r="AY37" s="83" t="s">
        <v>23</v>
      </c>
      <c r="AZ37" s="83" t="s">
        <v>23</v>
      </c>
      <c r="BA37" s="83" t="s">
        <v>23</v>
      </c>
      <c r="BB37" s="273" t="s">
        <v>23</v>
      </c>
      <c r="BC37" s="83"/>
      <c r="BD37" t="s">
        <v>40</v>
      </c>
      <c r="BE37" s="83" t="s">
        <v>41</v>
      </c>
    </row>
    <row r="38" spans="1:57" ht="15.75" customHeight="1" thickBot="1">
      <c r="A38" s="468"/>
      <c r="B38" s="371" t="s">
        <v>23</v>
      </c>
      <c r="C38" s="412"/>
      <c r="D38" s="94">
        <f>C38*O38</f>
        <v>0</v>
      </c>
      <c r="E38" s="422" t="s">
        <v>24</v>
      </c>
      <c r="F38" s="93"/>
      <c r="G38" s="451" t="s">
        <v>25</v>
      </c>
      <c r="H38" s="530"/>
      <c r="I38" s="531"/>
      <c r="J38" s="83"/>
      <c r="K38" s="64"/>
      <c r="L38" s="64"/>
      <c r="M38" s="111"/>
      <c r="N38" s="112">
        <f t="shared" ref="N38" si="54">(((2*(B36+C36))*D36)/1000000)+(((B36-10)*(C36-10))/1000000)</f>
        <v>1E-4</v>
      </c>
      <c r="O38" s="112">
        <f>((IF(N38&lt;=informatieblad!$I$12,informatieblad!$I$12,IF(N38&gt;=informatieblad!$I$12,N38))))</f>
        <v>0.5</v>
      </c>
      <c r="P38" s="112">
        <f t="shared" ref="P38" si="55">(((2*B36)+(2*C36))*D36)/1000000+(((B36-10)*(C36-10))/1000000)</f>
        <v>1E-4</v>
      </c>
      <c r="Q38" s="112">
        <f>((IF(P38&lt;=informatieblad!$H$12,informatieblad!$H$12,IF(P38&gt;=informatieblad!$H$12,P38))))</f>
        <v>1E-4</v>
      </c>
      <c r="R38" s="113">
        <f t="shared" ref="R38" si="56">(((Q38*X38)+(Q38*U38))*C38)+BD38</f>
        <v>5</v>
      </c>
      <c r="S38" s="114">
        <f t="shared" ref="S38" si="57">(((O38*W38)+(O38*V38))*C38)+(BE38)</f>
        <v>12</v>
      </c>
      <c r="T38" s="115" t="str">
        <f t="shared" ref="T38" si="58">G38</f>
        <v>Options None</v>
      </c>
      <c r="U38" s="116">
        <f>VLOOKUP(G38,informatieblad!$A$37:$D$41,2,FALSE)</f>
        <v>0</v>
      </c>
      <c r="V38" s="116">
        <f>VLOOKUP(G38,informatieblad!$A$37:$D$41,4,FALSE)</f>
        <v>0</v>
      </c>
      <c r="W38" s="117">
        <f t="shared" ref="W38" si="59">((IF(D36&lt;=900,AC38,IF(D36&gt;=900,AE38))))</f>
        <v>45.1248</v>
      </c>
      <c r="X38" s="118">
        <f t="shared" ref="X38" si="60">((IF(D36&lt;=900,AB38,IF(D36&gt;=900,AD38))))</f>
        <v>0</v>
      </c>
      <c r="Y38" s="119"/>
      <c r="Z38" s="119">
        <f t="shared" ref="Z38" si="61">(MAX(B36:C36))</f>
        <v>0</v>
      </c>
      <c r="AA38" s="119">
        <f>LOOKUP(Z38,informatieblad!$C$27:$C$32,informatieblad!$A$27:$A$32)</f>
        <v>0.5</v>
      </c>
      <c r="AB38" s="118">
        <f>VLOOKUP(AA38,informatieblad!$A$27:$M$32,6,FALSE)</f>
        <v>0</v>
      </c>
      <c r="AC38" s="118">
        <f>VLOOKUP(AA38,informatieblad!$A$27:$M$32,8,FALSE)</f>
        <v>45.1248</v>
      </c>
      <c r="AD38" s="118">
        <f>VLOOKUP(AA38,informatieblad!$A$27:$M$32,9,FALSE)</f>
        <v>0</v>
      </c>
      <c r="AE38" s="118">
        <f>VLOOKUP(AA38,informatieblad!$A$27:$M$32,11,FALSE)</f>
        <v>32.463200000000001</v>
      </c>
      <c r="AF38" s="120">
        <f>VLOOKUP(AA38,informatieblad!$A$27:$M$32,13,FALSE)</f>
        <v>4</v>
      </c>
      <c r="AG38" s="121">
        <f t="shared" ref="AG38" si="62">ROUND((AF38*P38),1)</f>
        <v>0</v>
      </c>
      <c r="AH38" s="64"/>
      <c r="AI38" s="111">
        <f t="shared" ref="AI38" si="63">(IF(B37=AI36,((2*B36)+(2*C36)),IF(B37=AI37,((2*B36)+(2*C36)),0)))*C38</f>
        <v>0</v>
      </c>
      <c r="AJ38" s="261">
        <f t="shared" ref="AJ38" si="64">(IF(C37=AI36,((2*B36)+(2*C36)),IF(C37=AI37,((2*B36)+(2*C36)),0)))*C38</f>
        <v>0</v>
      </c>
      <c r="AK38" s="111">
        <f t="shared" ref="AK38" si="65">(IF(B37=AK36,((2*B36)+(2*C36)),IF(B37=AK37,((2*B36)+(2*C36)),0)))*C38</f>
        <v>0</v>
      </c>
      <c r="AL38" s="260">
        <f t="shared" ref="AL38" si="66">(IF(C37=AK36,((2*B36)+(2*C36)),IF(C37=AK37,((2*B36)+(2*C36)),0)))*C38</f>
        <v>0</v>
      </c>
      <c r="AM38" s="261">
        <f t="shared" ref="AM38" si="67">(IF(B37=AM36,((2*B36)+(2*C36)),IF(B37=AM37,((2*B36)+(2*C36)),0)))*C38</f>
        <v>0</v>
      </c>
      <c r="AN38" s="260">
        <f t="shared" ref="AN38" si="68">(IF(C37=AM36,((2*B36)+(2*C36)),IF(C37=AM37,((2*B36)+(2*C36)),0)))*C38</f>
        <v>0</v>
      </c>
      <c r="AO38" s="111">
        <f t="shared" ref="AO38" si="69">(IF(B37=AO36,((2*B36)+(2*C36)),0))*C38</f>
        <v>0</v>
      </c>
      <c r="AP38" s="260">
        <f t="shared" ref="AP38" si="70">(IF(C37=AO36,((2*B36)+(2*C36)),0))*C38</f>
        <v>0</v>
      </c>
      <c r="AQ38" s="64"/>
      <c r="AR38" s="268">
        <f t="shared" ref="AR38" si="71">D36*C38</f>
        <v>0</v>
      </c>
      <c r="AS38" s="64"/>
      <c r="AT38" s="83" t="str">
        <f>'UC mounting materials '!$B$11</f>
        <v>Rail 41x41</v>
      </c>
      <c r="AU38" s="268">
        <f t="shared" ref="AU38" si="72">IF(Z38&gt;999,(Z38+100),0)*C38</f>
        <v>0</v>
      </c>
      <c r="AV38" s="64"/>
      <c r="AW38" s="111" t="str">
        <f>IF(B37=informatieblad!$A$6,informatieblad!$B$6,IF(B37=informatieblad!$A$7,informatieblad!$B$7,IF(B37=informatieblad!$A$8,informatieblad!$B$8,IF(B37=informatieblad!$A$2,informatieblad!$B$2,IF(B37=informatieblad!$A$3,informatieblad!$B$3,IF(B37=informatieblad!$A$4,informatieblad!$B$4,IF(B37=informatieblad!$A$5,informatieblad!$B$5,"")))))))</f>
        <v/>
      </c>
      <c r="AX38" s="275" t="str">
        <f>IF(C37=informatieblad!$A$6,informatieblad!$B$6,IF(C37=informatieblad!$A$7,informatieblad!$B$7,IF(C37=informatieblad!$A$8,informatieblad!$B$8,IF(C37=informatieblad!$A$2,informatieblad!$B$2,IF(C37=informatieblad!$A$3,informatieblad!$B$3,IF(C37=informatieblad!$A$4,informatieblad!$B$4,IF(C37=informatieblad!$A$5,informatieblad!$B$5,"")))))))</f>
        <v/>
      </c>
      <c r="AY38" s="276">
        <f t="shared" ref="AY38" si="73">IF(AW38=AY36,(4*C38),0)</f>
        <v>0</v>
      </c>
      <c r="AZ38" s="276">
        <f t="shared" ref="AZ38" si="74">IF(AX38=AY36,(4*C38),0)</f>
        <v>0</v>
      </c>
      <c r="BA38" s="276">
        <f t="shared" ref="BA38" si="75">IF(AW38=BA36,(4*C38),0)</f>
        <v>0</v>
      </c>
      <c r="BB38" s="274">
        <f t="shared" ref="BB38" si="76">IF(AX38=BA36,(4*C38),0)</f>
        <v>0</v>
      </c>
      <c r="BC38" s="83"/>
      <c r="BD38" s="374">
        <v>5</v>
      </c>
      <c r="BE38">
        <f t="shared" ref="BE38" si="77">BD38*2.4</f>
        <v>12</v>
      </c>
    </row>
    <row r="39" spans="1:57" ht="5.0999999999999996" customHeight="1" thickBot="1">
      <c r="A39" s="88"/>
      <c r="B39" s="88"/>
      <c r="C39" s="88"/>
      <c r="D39" s="88"/>
      <c r="F39" s="88"/>
      <c r="G39" s="88"/>
      <c r="H39" s="88"/>
      <c r="I39" s="88"/>
      <c r="J39" s="8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83"/>
      <c r="AJ39" s="83"/>
      <c r="AK39" s="83"/>
      <c r="AL39" s="83"/>
      <c r="AM39" s="83"/>
      <c r="AN39" s="83"/>
      <c r="AO39" s="83"/>
      <c r="AP39" s="83"/>
      <c r="AQ39" s="64"/>
      <c r="AR39" s="83"/>
      <c r="AS39" s="64"/>
      <c r="AT39" s="64"/>
      <c r="AU39" s="83"/>
      <c r="AV39" s="64"/>
      <c r="AW39" s="83"/>
      <c r="AX39" s="83"/>
      <c r="AY39" s="83"/>
      <c r="AZ39" s="83"/>
      <c r="BA39" s="83"/>
      <c r="BB39" s="83"/>
      <c r="BC39" s="83"/>
    </row>
    <row r="40" spans="1:57" ht="15.75" customHeight="1" thickBot="1">
      <c r="A40" s="445"/>
      <c r="B40" s="96"/>
      <c r="C40" s="96"/>
      <c r="D40" s="96"/>
      <c r="E40" s="96"/>
      <c r="F40" s="421"/>
      <c r="G40" s="423" t="s">
        <v>181</v>
      </c>
      <c r="H40" s="424">
        <f>ROUND(((B40*C40)/1000000),2)</f>
        <v>0</v>
      </c>
      <c r="I40" s="425" t="s">
        <v>24</v>
      </c>
      <c r="J40" s="366" t="s">
        <v>20</v>
      </c>
      <c r="K40" s="64"/>
      <c r="L40" s="64"/>
      <c r="M40" s="97" t="s">
        <v>26</v>
      </c>
      <c r="N40" s="98" t="s">
        <v>27</v>
      </c>
      <c r="O40" s="98" t="s">
        <v>28</v>
      </c>
      <c r="P40" s="98" t="s">
        <v>27</v>
      </c>
      <c r="Q40" s="98" t="s">
        <v>28</v>
      </c>
      <c r="R40" s="98" t="s">
        <v>29</v>
      </c>
      <c r="S40" s="66" t="s">
        <v>30</v>
      </c>
      <c r="T40" s="99" t="s">
        <v>31</v>
      </c>
      <c r="U40" s="99"/>
      <c r="V40" s="99"/>
      <c r="W40" s="98" t="s">
        <v>32</v>
      </c>
      <c r="X40" s="98" t="s">
        <v>32</v>
      </c>
      <c r="Y40" s="98"/>
      <c r="Z40" s="98" t="s">
        <v>33</v>
      </c>
      <c r="AA40" s="100" t="s">
        <v>34</v>
      </c>
      <c r="AB40" s="98" t="s">
        <v>32</v>
      </c>
      <c r="AC40" s="98" t="s">
        <v>32</v>
      </c>
      <c r="AD40" s="98" t="s">
        <v>32</v>
      </c>
      <c r="AE40" s="98" t="s">
        <v>32</v>
      </c>
      <c r="AF40" s="98" t="s">
        <v>35</v>
      </c>
      <c r="AG40" s="101" t="s">
        <v>36</v>
      </c>
      <c r="AH40" s="64"/>
      <c r="AI40" s="97" t="str">
        <f>informatieblad!$A$6</f>
        <v>FL20</v>
      </c>
      <c r="AJ40" s="99"/>
      <c r="AK40" s="97" t="str">
        <f>informatieblad!$A$7</f>
        <v>FL30</v>
      </c>
      <c r="AL40" s="66"/>
      <c r="AM40" s="99" t="str">
        <f>informatieblad!$A$8</f>
        <v>FL40</v>
      </c>
      <c r="AN40" s="66"/>
      <c r="AO40" s="97" t="str">
        <f>informatieblad!$A$5</f>
        <v>none</v>
      </c>
      <c r="AP40" s="264"/>
      <c r="AQ40" s="64"/>
      <c r="AR40" s="266" t="s">
        <v>17</v>
      </c>
      <c r="AS40" s="64"/>
      <c r="AT40" s="64"/>
      <c r="AU40" s="266" t="s">
        <v>37</v>
      </c>
      <c r="AV40" s="64"/>
      <c r="AW40" s="269" t="s">
        <v>38</v>
      </c>
      <c r="AX40" s="272"/>
      <c r="AY40" s="272">
        <f>informatieblad!$B$3</f>
        <v>0</v>
      </c>
      <c r="AZ40" s="272">
        <f>informatieblad!$B$3</f>
        <v>0</v>
      </c>
      <c r="BA40" s="272">
        <f>informatieblad!$B$4</f>
        <v>0</v>
      </c>
      <c r="BB40" s="264">
        <f>informatieblad!$B$4</f>
        <v>0</v>
      </c>
      <c r="BC40" s="83"/>
      <c r="BD40" t="s">
        <v>182</v>
      </c>
    </row>
    <row r="41" spans="1:57" ht="15" customHeight="1">
      <c r="A41" s="467"/>
      <c r="B41" s="102" t="str">
        <f>IF($C42&gt;0,IF(MAX(B40:C40)&lt;informatieblad!$Q$4,informatieblad!$P$3,IF(MAX(B40:C40)&gt;informatieblad!$R$4,informatieblad!$P$5,informatieblad!$P$4)),"")</f>
        <v/>
      </c>
      <c r="C41" s="102" t="str">
        <f>IF($C42&gt;0,IF(MAX(B40:C40)&lt;informatieblad!$Q$4,informatieblad!$P$3,IF(MAX(B40:C40)&gt;informatieblad!$R$4,informatieblad!$P$5,informatieblad!$P$4)),"")</f>
        <v/>
      </c>
      <c r="D41" s="504"/>
      <c r="E41" s="527"/>
      <c r="F41" s="505" t="str">
        <f>A40&amp;"-"&amp;informatieblad!$B$21&amp;"-"&amp;B40&amp;"-"&amp;C40&amp;"-"&amp;D40&amp;"-"&amp;E40&amp;"-"&amp;B41&amp;"-"&amp;C41&amp;"-"&amp;G42</f>
        <v>-RctV-------Options None</v>
      </c>
      <c r="G41" s="528"/>
      <c r="H41" s="528"/>
      <c r="I41" s="529"/>
      <c r="J41" s="83"/>
      <c r="K41" s="64"/>
      <c r="L41" s="64"/>
      <c r="M41" s="103">
        <f t="shared" ref="M41" si="78">A40</f>
        <v>0</v>
      </c>
      <c r="N41" s="104" t="s">
        <v>39</v>
      </c>
      <c r="O41" s="104" t="s">
        <v>39</v>
      </c>
      <c r="P41" s="104" t="s">
        <v>40</v>
      </c>
      <c r="Q41" s="104" t="s">
        <v>40</v>
      </c>
      <c r="R41" s="104" t="s">
        <v>40</v>
      </c>
      <c r="S41" s="105"/>
      <c r="T41" s="106" t="s">
        <v>27</v>
      </c>
      <c r="U41" s="106" t="s">
        <v>40</v>
      </c>
      <c r="V41" s="106" t="s">
        <v>41</v>
      </c>
      <c r="W41" s="104" t="s">
        <v>42</v>
      </c>
      <c r="X41" s="104" t="s">
        <v>43</v>
      </c>
      <c r="Y41" s="104"/>
      <c r="Z41" s="104" t="s">
        <v>44</v>
      </c>
      <c r="AA41" s="107"/>
      <c r="AB41" s="104" t="s">
        <v>45</v>
      </c>
      <c r="AC41" s="104" t="s">
        <v>42</v>
      </c>
      <c r="AD41" s="104" t="s">
        <v>43</v>
      </c>
      <c r="AE41" s="104" t="s">
        <v>46</v>
      </c>
      <c r="AF41" s="108"/>
      <c r="AG41" s="109"/>
      <c r="AH41" s="64"/>
      <c r="AI41" s="262" t="str">
        <f>informatieblad!$A$2</f>
        <v>FL20 loose</v>
      </c>
      <c r="AJ41" s="263"/>
      <c r="AK41" s="262" t="str">
        <f>informatieblad!$A$3</f>
        <v>FL30 loose</v>
      </c>
      <c r="AL41" s="105"/>
      <c r="AM41" s="263" t="str">
        <f>informatieblad!$A$4</f>
        <v>FL40 loose</v>
      </c>
      <c r="AN41" s="105"/>
      <c r="AO41" s="265"/>
      <c r="AP41" s="105"/>
      <c r="AQ41" s="64"/>
      <c r="AR41" s="267"/>
      <c r="AS41" s="64"/>
      <c r="AT41" s="83" t="str">
        <f>'UC mounting materials '!$B$10</f>
        <v>Rail 30x15</v>
      </c>
      <c r="AU41" s="327">
        <f t="shared" ref="AU41" si="79">IF(Z42&lt;1000,(Z42+100),0)*C42</f>
        <v>0</v>
      </c>
      <c r="AV41" s="64"/>
      <c r="AW41" s="265" t="s">
        <v>47</v>
      </c>
      <c r="AX41" s="106" t="s">
        <v>48</v>
      </c>
      <c r="AY41" s="83" t="s">
        <v>23</v>
      </c>
      <c r="AZ41" s="83" t="s">
        <v>23</v>
      </c>
      <c r="BA41" s="83" t="s">
        <v>23</v>
      </c>
      <c r="BB41" s="273" t="s">
        <v>23</v>
      </c>
      <c r="BC41" s="83"/>
      <c r="BD41" t="s">
        <v>40</v>
      </c>
      <c r="BE41" s="83" t="s">
        <v>41</v>
      </c>
    </row>
    <row r="42" spans="1:57" ht="15.75" customHeight="1" thickBot="1">
      <c r="A42" s="468"/>
      <c r="B42" s="371" t="s">
        <v>23</v>
      </c>
      <c r="C42" s="412"/>
      <c r="D42" s="94">
        <f>C42*O42</f>
        <v>0</v>
      </c>
      <c r="E42" s="422" t="s">
        <v>24</v>
      </c>
      <c r="F42" s="93"/>
      <c r="G42" s="451" t="s">
        <v>25</v>
      </c>
      <c r="H42" s="530"/>
      <c r="I42" s="531"/>
      <c r="J42" s="83"/>
      <c r="K42" s="64"/>
      <c r="L42" s="64"/>
      <c r="M42" s="111"/>
      <c r="N42" s="112">
        <f t="shared" ref="N42" si="80">(((2*(B40+C40))*D40)/1000000)+(((B40-10)*(C40-10))/1000000)</f>
        <v>1E-4</v>
      </c>
      <c r="O42" s="112">
        <f>((IF(N42&lt;=informatieblad!$I$12,informatieblad!$I$12,IF(N42&gt;=informatieblad!$I$12,N42))))</f>
        <v>0.5</v>
      </c>
      <c r="P42" s="112">
        <f t="shared" ref="P42" si="81">(((2*B40)+(2*C40))*D40)/1000000+(((B40-10)*(C40-10))/1000000)</f>
        <v>1E-4</v>
      </c>
      <c r="Q42" s="112">
        <f>((IF(P42&lt;=informatieblad!$H$12,informatieblad!$H$12,IF(P42&gt;=informatieblad!$H$12,P42))))</f>
        <v>1E-4</v>
      </c>
      <c r="R42" s="113">
        <f t="shared" ref="R42" si="82">(((Q42*X42)+(Q42*U42))*C42)+BD42</f>
        <v>5</v>
      </c>
      <c r="S42" s="114">
        <f t="shared" ref="S42" si="83">(((O42*W42)+(O42*V42))*C42)+(BE42)</f>
        <v>12</v>
      </c>
      <c r="T42" s="115" t="str">
        <f t="shared" ref="T42" si="84">G42</f>
        <v>Options None</v>
      </c>
      <c r="U42" s="116">
        <f>VLOOKUP(G42,informatieblad!$A$37:$D$41,2,FALSE)</f>
        <v>0</v>
      </c>
      <c r="V42" s="116">
        <f>VLOOKUP(G42,informatieblad!$A$37:$D$41,4,FALSE)</f>
        <v>0</v>
      </c>
      <c r="W42" s="117">
        <f t="shared" ref="W42" si="85">((IF(D40&lt;=900,AC42,IF(D40&gt;=900,AE42))))</f>
        <v>45.1248</v>
      </c>
      <c r="X42" s="118">
        <f t="shared" ref="X42" si="86">((IF(D40&lt;=900,AB42,IF(D40&gt;=900,AD42))))</f>
        <v>0</v>
      </c>
      <c r="Y42" s="119"/>
      <c r="Z42" s="119">
        <f t="shared" ref="Z42" si="87">(MAX(B40:C40))</f>
        <v>0</v>
      </c>
      <c r="AA42" s="119">
        <f>LOOKUP(Z42,informatieblad!$C$27:$C$32,informatieblad!$A$27:$A$32)</f>
        <v>0.5</v>
      </c>
      <c r="AB42" s="118">
        <f>VLOOKUP(AA42,informatieblad!$A$27:$M$32,6,FALSE)</f>
        <v>0</v>
      </c>
      <c r="AC42" s="118">
        <f>VLOOKUP(AA42,informatieblad!$A$27:$M$32,8,FALSE)</f>
        <v>45.1248</v>
      </c>
      <c r="AD42" s="118">
        <f>VLOOKUP(AA42,informatieblad!$A$27:$M$32,9,FALSE)</f>
        <v>0</v>
      </c>
      <c r="AE42" s="118">
        <f>VLOOKUP(AA42,informatieblad!$A$27:$M$32,11,FALSE)</f>
        <v>32.463200000000001</v>
      </c>
      <c r="AF42" s="120">
        <f>VLOOKUP(AA42,informatieblad!$A$27:$M$32,13,FALSE)</f>
        <v>4</v>
      </c>
      <c r="AG42" s="121">
        <f t="shared" ref="AG42" si="88">ROUND((AF42*P42),1)</f>
        <v>0</v>
      </c>
      <c r="AH42" s="64"/>
      <c r="AI42" s="111">
        <f t="shared" ref="AI42" si="89">(IF(B41=AI40,((2*B40)+(2*C40)),IF(B41=AI41,((2*B40)+(2*C40)),0)))*C42</f>
        <v>0</v>
      </c>
      <c r="AJ42" s="261">
        <f t="shared" ref="AJ42" si="90">(IF(C41=AI40,((2*B40)+(2*C40)),IF(C41=AI41,((2*B40)+(2*C40)),0)))*C42</f>
        <v>0</v>
      </c>
      <c r="AK42" s="111">
        <f t="shared" ref="AK42" si="91">(IF(B41=AK40,((2*B40)+(2*C40)),IF(B41=AK41,((2*B40)+(2*C40)),0)))*C42</f>
        <v>0</v>
      </c>
      <c r="AL42" s="260">
        <f t="shared" ref="AL42" si="92">(IF(C41=AK40,((2*B40)+(2*C40)),IF(C41=AK41,((2*B40)+(2*C40)),0)))*C42</f>
        <v>0</v>
      </c>
      <c r="AM42" s="261">
        <f t="shared" ref="AM42" si="93">(IF(B41=AM40,((2*B40)+(2*C40)),IF(B41=AM41,((2*B40)+(2*C40)),0)))*C42</f>
        <v>0</v>
      </c>
      <c r="AN42" s="260">
        <f t="shared" ref="AN42" si="94">(IF(C41=AM40,((2*B40)+(2*C40)),IF(C41=AM41,((2*B40)+(2*C40)),0)))*C42</f>
        <v>0</v>
      </c>
      <c r="AO42" s="111">
        <f t="shared" ref="AO42" si="95">(IF(B41=AO40,((2*B40)+(2*C40)),0))*C42</f>
        <v>0</v>
      </c>
      <c r="AP42" s="260">
        <f t="shared" ref="AP42" si="96">(IF(C41=AO40,((2*B40)+(2*C40)),0))*C42</f>
        <v>0</v>
      </c>
      <c r="AQ42" s="64"/>
      <c r="AR42" s="268">
        <f t="shared" ref="AR42" si="97">D40*C42</f>
        <v>0</v>
      </c>
      <c r="AS42" s="64"/>
      <c r="AT42" s="83" t="str">
        <f>'UC mounting materials '!$B$11</f>
        <v>Rail 41x41</v>
      </c>
      <c r="AU42" s="268">
        <f t="shared" ref="AU42" si="98">IF(Z42&gt;999,(Z42+100),0)*C42</f>
        <v>0</v>
      </c>
      <c r="AV42" s="64"/>
      <c r="AW42" s="111" t="str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/>
      </c>
      <c r="AX42" s="275" t="str">
        <f>IF(C41=informatieblad!$A$6,informatieblad!$B$6,IF(C41=informatieblad!$A$7,informatieblad!$B$7,IF(C41=informatieblad!$A$8,informatieblad!$B$8,IF(C41=informatieblad!$A$2,informatieblad!$B$2,IF(C41=informatieblad!$A$3,informatieblad!$B$3,IF(C41=informatieblad!$A$4,informatieblad!$B$4,IF(C41=informatieblad!$A$5,informatieblad!$B$5,"")))))))</f>
        <v/>
      </c>
      <c r="AY42" s="276">
        <f t="shared" ref="AY42" si="99">IF(AW42=AY40,(4*C42),0)</f>
        <v>0</v>
      </c>
      <c r="AZ42" s="276">
        <f t="shared" ref="AZ42" si="100">IF(AX42=AY40,(4*C42),0)</f>
        <v>0</v>
      </c>
      <c r="BA42" s="276">
        <f t="shared" ref="BA42" si="101">IF(AW42=BA40,(4*C42),0)</f>
        <v>0</v>
      </c>
      <c r="BB42" s="274">
        <f t="shared" ref="BB42" si="102">IF(AX42=BA40,(4*C42),0)</f>
        <v>0</v>
      </c>
      <c r="BC42" s="83"/>
      <c r="BD42" s="374">
        <v>5</v>
      </c>
      <c r="BE42">
        <f t="shared" ref="BE42" si="103">BD42*2.4</f>
        <v>12</v>
      </c>
    </row>
    <row r="43" spans="1:57" ht="5.0999999999999996" customHeight="1" thickBot="1">
      <c r="A43" s="88"/>
      <c r="B43" s="88"/>
      <c r="C43" s="88"/>
      <c r="D43" s="88"/>
      <c r="F43" s="88"/>
      <c r="G43" s="88"/>
      <c r="H43" s="88"/>
      <c r="I43" s="88"/>
      <c r="J43" s="8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83"/>
      <c r="AJ43" s="83"/>
      <c r="AK43" s="83"/>
      <c r="AL43" s="83"/>
      <c r="AM43" s="83"/>
      <c r="AN43" s="83"/>
      <c r="AO43" s="83"/>
      <c r="AP43" s="83"/>
      <c r="AQ43" s="64"/>
      <c r="AR43" s="83"/>
      <c r="AS43" s="64"/>
      <c r="AT43" s="64"/>
      <c r="AU43" s="83"/>
      <c r="AV43" s="64"/>
      <c r="AW43" s="83"/>
      <c r="AX43" s="83"/>
      <c r="AY43" s="83"/>
      <c r="AZ43" s="83"/>
      <c r="BA43" s="83"/>
      <c r="BB43" s="83"/>
      <c r="BC43" s="83"/>
    </row>
    <row r="44" spans="1:57" ht="15.75" customHeight="1" thickBot="1">
      <c r="A44" s="445"/>
      <c r="B44" s="96"/>
      <c r="C44" s="96"/>
      <c r="D44" s="96"/>
      <c r="E44" s="96"/>
      <c r="F44" s="421"/>
      <c r="G44" s="423" t="s">
        <v>181</v>
      </c>
      <c r="H44" s="424">
        <f>ROUND(((B44*C44)/1000000),2)</f>
        <v>0</v>
      </c>
      <c r="I44" s="425" t="s">
        <v>24</v>
      </c>
      <c r="J44" s="366" t="s">
        <v>20</v>
      </c>
      <c r="K44" s="64"/>
      <c r="L44" s="64"/>
      <c r="M44" s="97" t="s">
        <v>26</v>
      </c>
      <c r="N44" s="98" t="s">
        <v>27</v>
      </c>
      <c r="O44" s="98" t="s">
        <v>28</v>
      </c>
      <c r="P44" s="98" t="s">
        <v>27</v>
      </c>
      <c r="Q44" s="98" t="s">
        <v>28</v>
      </c>
      <c r="R44" s="98" t="s">
        <v>29</v>
      </c>
      <c r="S44" s="66" t="s">
        <v>30</v>
      </c>
      <c r="T44" s="99" t="s">
        <v>31</v>
      </c>
      <c r="U44" s="99"/>
      <c r="V44" s="99"/>
      <c r="W44" s="98" t="s">
        <v>32</v>
      </c>
      <c r="X44" s="98" t="s">
        <v>32</v>
      </c>
      <c r="Y44" s="98"/>
      <c r="Z44" s="98" t="s">
        <v>33</v>
      </c>
      <c r="AA44" s="100" t="s">
        <v>34</v>
      </c>
      <c r="AB44" s="98" t="s">
        <v>32</v>
      </c>
      <c r="AC44" s="98" t="s">
        <v>32</v>
      </c>
      <c r="AD44" s="98" t="s">
        <v>32</v>
      </c>
      <c r="AE44" s="98" t="s">
        <v>32</v>
      </c>
      <c r="AF44" s="98" t="s">
        <v>35</v>
      </c>
      <c r="AG44" s="101" t="s">
        <v>36</v>
      </c>
      <c r="AH44" s="64"/>
      <c r="AI44" s="97" t="str">
        <f>informatieblad!$A$6</f>
        <v>FL20</v>
      </c>
      <c r="AJ44" s="99"/>
      <c r="AK44" s="97" t="str">
        <f>informatieblad!$A$7</f>
        <v>FL30</v>
      </c>
      <c r="AL44" s="66"/>
      <c r="AM44" s="99" t="str">
        <f>informatieblad!$A$8</f>
        <v>FL40</v>
      </c>
      <c r="AN44" s="66"/>
      <c r="AO44" s="97" t="str">
        <f>informatieblad!$A$5</f>
        <v>none</v>
      </c>
      <c r="AP44" s="264"/>
      <c r="AQ44" s="64"/>
      <c r="AR44" s="266" t="s">
        <v>17</v>
      </c>
      <c r="AS44" s="64"/>
      <c r="AT44" s="64"/>
      <c r="AU44" s="266" t="s">
        <v>37</v>
      </c>
      <c r="AV44" s="64"/>
      <c r="AW44" s="269" t="s">
        <v>38</v>
      </c>
      <c r="AX44" s="272"/>
      <c r="AY44" s="272">
        <f>informatieblad!$B$3</f>
        <v>0</v>
      </c>
      <c r="AZ44" s="272">
        <f>informatieblad!$B$3</f>
        <v>0</v>
      </c>
      <c r="BA44" s="272">
        <f>informatieblad!$B$4</f>
        <v>0</v>
      </c>
      <c r="BB44" s="264">
        <f>informatieblad!$B$4</f>
        <v>0</v>
      </c>
      <c r="BC44" s="83"/>
      <c r="BD44" t="s">
        <v>182</v>
      </c>
    </row>
    <row r="45" spans="1:57" ht="15" customHeight="1">
      <c r="A45" s="467"/>
      <c r="B45" s="102" t="str">
        <f>IF($C46&gt;0,IF(MAX(B44:C44)&lt;informatieblad!$Q$4,informatieblad!$P$3,IF(MAX(B44:C44)&gt;informatieblad!$R$4,informatieblad!$P$5,informatieblad!$P$4)),"")</f>
        <v/>
      </c>
      <c r="C45" s="102" t="str">
        <f>IF($C46&gt;0,IF(MAX(B44:C44)&lt;informatieblad!$Q$4,informatieblad!$P$3,IF(MAX(B44:C44)&gt;informatieblad!$R$4,informatieblad!$P$5,informatieblad!$P$4)),"")</f>
        <v/>
      </c>
      <c r="D45" s="504"/>
      <c r="E45" s="527"/>
      <c r="F45" s="505" t="str">
        <f>A44&amp;"-"&amp;informatieblad!$B$21&amp;"-"&amp;B44&amp;"-"&amp;C44&amp;"-"&amp;D44&amp;"-"&amp;E44&amp;"-"&amp;B45&amp;"-"&amp;C45&amp;"-"&amp;G46</f>
        <v>-RctV-------Options None</v>
      </c>
      <c r="G45" s="528"/>
      <c r="H45" s="528"/>
      <c r="I45" s="529"/>
      <c r="J45" s="83"/>
      <c r="K45" s="64"/>
      <c r="L45" s="64"/>
      <c r="M45" s="103">
        <f>A44</f>
        <v>0</v>
      </c>
      <c r="N45" s="104" t="s">
        <v>39</v>
      </c>
      <c r="O45" s="104" t="s">
        <v>39</v>
      </c>
      <c r="P45" s="104" t="s">
        <v>40</v>
      </c>
      <c r="Q45" s="104" t="s">
        <v>40</v>
      </c>
      <c r="R45" s="104" t="s">
        <v>40</v>
      </c>
      <c r="S45" s="105"/>
      <c r="T45" s="106" t="s">
        <v>27</v>
      </c>
      <c r="U45" s="106" t="s">
        <v>40</v>
      </c>
      <c r="V45" s="106" t="s">
        <v>41</v>
      </c>
      <c r="W45" s="104" t="s">
        <v>42</v>
      </c>
      <c r="X45" s="104" t="s">
        <v>43</v>
      </c>
      <c r="Y45" s="104"/>
      <c r="Z45" s="104" t="s">
        <v>44</v>
      </c>
      <c r="AA45" s="107"/>
      <c r="AB45" s="104" t="s">
        <v>45</v>
      </c>
      <c r="AC45" s="104" t="s">
        <v>42</v>
      </c>
      <c r="AD45" s="104" t="s">
        <v>43</v>
      </c>
      <c r="AE45" s="104" t="s">
        <v>46</v>
      </c>
      <c r="AF45" s="108"/>
      <c r="AG45" s="109"/>
      <c r="AH45" s="64"/>
      <c r="AI45" s="262" t="str">
        <f>informatieblad!$A$2</f>
        <v>FL20 loose</v>
      </c>
      <c r="AJ45" s="263"/>
      <c r="AK45" s="262" t="str">
        <f>informatieblad!$A$3</f>
        <v>FL30 loose</v>
      </c>
      <c r="AL45" s="105"/>
      <c r="AM45" s="263" t="str">
        <f>informatieblad!$A$4</f>
        <v>FL40 loose</v>
      </c>
      <c r="AN45" s="105"/>
      <c r="AO45" s="265"/>
      <c r="AP45" s="105"/>
      <c r="AQ45" s="64"/>
      <c r="AR45" s="267"/>
      <c r="AS45" s="64"/>
      <c r="AT45" s="83" t="str">
        <f>'UC mounting materials '!$B$10</f>
        <v>Rail 30x15</v>
      </c>
      <c r="AU45" s="327">
        <f>IF(Z46&lt;1000,(Z46+100),0)*C46</f>
        <v>0</v>
      </c>
      <c r="AV45" s="64"/>
      <c r="AW45" s="265" t="s">
        <v>47</v>
      </c>
      <c r="AX45" s="106" t="s">
        <v>48</v>
      </c>
      <c r="AY45" s="83" t="s">
        <v>23</v>
      </c>
      <c r="AZ45" s="83" t="s">
        <v>23</v>
      </c>
      <c r="BA45" s="83" t="s">
        <v>23</v>
      </c>
      <c r="BB45" s="273" t="s">
        <v>23</v>
      </c>
      <c r="BC45" s="83"/>
      <c r="BD45" t="s">
        <v>40</v>
      </c>
      <c r="BE45" s="83" t="s">
        <v>41</v>
      </c>
    </row>
    <row r="46" spans="1:57" ht="15.75" customHeight="1" thickBot="1">
      <c r="A46" s="468"/>
      <c r="B46" s="371" t="s">
        <v>23</v>
      </c>
      <c r="C46" s="412"/>
      <c r="D46" s="94">
        <f>C46*O46</f>
        <v>0</v>
      </c>
      <c r="E46" s="422" t="s">
        <v>24</v>
      </c>
      <c r="F46" s="93"/>
      <c r="G46" s="451" t="s">
        <v>25</v>
      </c>
      <c r="H46" s="530"/>
      <c r="I46" s="531"/>
      <c r="J46" s="83"/>
      <c r="K46" s="64"/>
      <c r="L46" s="64"/>
      <c r="M46" s="111"/>
      <c r="N46" s="112">
        <f>(((2*(B44+C44))*D44)/1000000)+(((B44-10)*(C44-10))/1000000)</f>
        <v>1E-4</v>
      </c>
      <c r="O46" s="112">
        <f>((IF(N46&lt;=informatieblad!$I$12,informatieblad!$I$12,IF(N46&gt;=informatieblad!$I$12,N46))))</f>
        <v>0.5</v>
      </c>
      <c r="P46" s="112">
        <f>(((2*B44)+(2*C44))*D44)/1000000+(((B44-10)*(C44-10))/1000000)</f>
        <v>1E-4</v>
      </c>
      <c r="Q46" s="112">
        <f>((IF(P46&lt;=informatieblad!$H$12,informatieblad!$H$12,IF(P46&gt;=informatieblad!$H$12,P46))))</f>
        <v>1E-4</v>
      </c>
      <c r="R46" s="113">
        <f>(((Q46*X46)+(Q46*U46))*C46)+BD46</f>
        <v>5</v>
      </c>
      <c r="S46" s="114">
        <f>(((O46*W46)+(O46*V46))*C46)+(BE46)</f>
        <v>12</v>
      </c>
      <c r="T46" s="115" t="str">
        <f>G46</f>
        <v>Options None</v>
      </c>
      <c r="U46" s="116">
        <f>VLOOKUP(G46,informatieblad!$A$37:$D$41,2,FALSE)</f>
        <v>0</v>
      </c>
      <c r="V46" s="116">
        <f>VLOOKUP(G46,informatieblad!$A$37:$D$41,4,FALSE)</f>
        <v>0</v>
      </c>
      <c r="W46" s="117">
        <f>((IF(D44&lt;=900,AC46,IF(D44&gt;=900,AE46))))</f>
        <v>45.1248</v>
      </c>
      <c r="X46" s="118">
        <f>((IF(D44&lt;=900,AB46,IF(D44&gt;=900,AD46))))</f>
        <v>0</v>
      </c>
      <c r="Y46" s="119"/>
      <c r="Z46" s="119">
        <f>(MAX(B44:C44))</f>
        <v>0</v>
      </c>
      <c r="AA46" s="119">
        <f>LOOKUP(Z46,informatieblad!$C$27:$C$32,informatieblad!$A$27:$A$32)</f>
        <v>0.5</v>
      </c>
      <c r="AB46" s="118">
        <f>VLOOKUP(AA46,informatieblad!$A$27:$M$32,6,FALSE)</f>
        <v>0</v>
      </c>
      <c r="AC46" s="118">
        <f>VLOOKUP(AA46,informatieblad!$A$27:$M$32,8,FALSE)</f>
        <v>45.1248</v>
      </c>
      <c r="AD46" s="118">
        <f>VLOOKUP(AA46,informatieblad!$A$27:$M$32,9,FALSE)</f>
        <v>0</v>
      </c>
      <c r="AE46" s="118">
        <f>VLOOKUP(AA46,informatieblad!$A$27:$M$32,11,FALSE)</f>
        <v>32.463200000000001</v>
      </c>
      <c r="AF46" s="120">
        <f>VLOOKUP(AA46,informatieblad!$A$27:$M$32,13,FALSE)</f>
        <v>4</v>
      </c>
      <c r="AG46" s="121">
        <f>ROUND((AF46*P46),1)</f>
        <v>0</v>
      </c>
      <c r="AH46" s="64"/>
      <c r="AI46" s="111">
        <f>(IF(B45=AI44,((2*B44)+(2*C44)),IF(B45=AI45,((2*B44)+(2*C44)),0)))*C46</f>
        <v>0</v>
      </c>
      <c r="AJ46" s="261">
        <f>(IF(C45=AI44,((2*B44)+(2*C44)),IF(C45=AI45,((2*B44)+(2*C44)),0)))*C46</f>
        <v>0</v>
      </c>
      <c r="AK46" s="111">
        <f>(IF(B45=AK44,((2*B44)+(2*C44)),IF(B45=AK45,((2*B44)+(2*C44)),0)))*C46</f>
        <v>0</v>
      </c>
      <c r="AL46" s="260">
        <f>(IF(C45=AK44,((2*B44)+(2*C44)),IF(C45=AK45,((2*B44)+(2*C44)),0)))*C46</f>
        <v>0</v>
      </c>
      <c r="AM46" s="261">
        <f>(IF(B45=AM44,((2*B44)+(2*C44)),IF(B45=AM45,((2*B44)+(2*C44)),0)))*C46</f>
        <v>0</v>
      </c>
      <c r="AN46" s="260">
        <f>(IF(C45=AM44,((2*B44)+(2*C44)),IF(C45=AM45,((2*B44)+(2*C44)),0)))*C46</f>
        <v>0</v>
      </c>
      <c r="AO46" s="111">
        <f>(IF(B45=AO44,((2*B44)+(2*C44)),0))*C46</f>
        <v>0</v>
      </c>
      <c r="AP46" s="260">
        <f>(IF(C45=AO44,((2*B44)+(2*C44)),0))*C46</f>
        <v>0</v>
      </c>
      <c r="AQ46" s="64"/>
      <c r="AR46" s="268">
        <f>D44*C46</f>
        <v>0</v>
      </c>
      <c r="AS46" s="64"/>
      <c r="AT46" s="83" t="str">
        <f>'UC mounting materials '!$B$11</f>
        <v>Rail 41x41</v>
      </c>
      <c r="AU46" s="268">
        <f>IF(Z46&gt;999,(Z46+100),0)*C46</f>
        <v>0</v>
      </c>
      <c r="AV46" s="64"/>
      <c r="AW46" s="111" t="str">
        <f>IF(B45=informatieblad!$A$6,informatieblad!$B$6,IF(B45=informatieblad!$A$7,informatieblad!$B$7,IF(B45=informatieblad!$A$8,informatieblad!$B$8,IF(B45=informatieblad!$A$2,informatieblad!$B$2,IF(B45=informatieblad!$A$3,informatieblad!$B$3,IF(B45=informatieblad!$A$4,informatieblad!$B$4,IF(B45=informatieblad!$A$5,informatieblad!$B$5,"")))))))</f>
        <v/>
      </c>
      <c r="AX46" s="275" t="str">
        <f>IF(C45=informatieblad!$A$6,informatieblad!$B$6,IF(C45=informatieblad!$A$7,informatieblad!$B$7,IF(C45=informatieblad!$A$8,informatieblad!$B$8,IF(C45=informatieblad!$A$2,informatieblad!$B$2,IF(C45=informatieblad!$A$3,informatieblad!$B$3,IF(C45=informatieblad!$A$4,informatieblad!$B$4,IF(C45=informatieblad!$A$5,informatieblad!$B$5,"")))))))</f>
        <v/>
      </c>
      <c r="AY46" s="276">
        <f>IF(AW46=AY44,(4*C46),0)</f>
        <v>0</v>
      </c>
      <c r="AZ46" s="276">
        <f>IF(AX46=AY44,(4*C46),0)</f>
        <v>0</v>
      </c>
      <c r="BA46" s="276">
        <f>IF(AW46=BA44,(4*C46),0)</f>
        <v>0</v>
      </c>
      <c r="BB46" s="274">
        <f>IF(AX46=BA44,(4*C46),0)</f>
        <v>0</v>
      </c>
      <c r="BC46" s="83"/>
      <c r="BD46" s="374">
        <v>5</v>
      </c>
      <c r="BE46">
        <f>BD46*2.4</f>
        <v>12</v>
      </c>
    </row>
    <row r="47" spans="1:57" ht="5.0999999999999996" customHeight="1" thickBot="1">
      <c r="A47" s="88"/>
      <c r="B47" s="88"/>
      <c r="C47" s="88"/>
      <c r="D47" s="88"/>
      <c r="F47" s="88"/>
      <c r="G47" s="88"/>
      <c r="H47" s="88"/>
      <c r="I47" s="88"/>
      <c r="J47" s="8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83"/>
      <c r="AJ47" s="83"/>
      <c r="AK47" s="83"/>
      <c r="AL47" s="83"/>
      <c r="AM47" s="83"/>
      <c r="AN47" s="83"/>
      <c r="AO47" s="83"/>
      <c r="AP47" s="83"/>
      <c r="AQ47" s="64"/>
      <c r="AR47" s="83"/>
      <c r="AS47" s="64"/>
      <c r="AT47" s="64"/>
      <c r="AU47" s="83"/>
      <c r="AV47" s="64"/>
      <c r="AW47" s="83"/>
      <c r="AX47" s="83"/>
      <c r="AY47" s="83"/>
      <c r="AZ47" s="83"/>
      <c r="BA47" s="83"/>
      <c r="BB47" s="83"/>
      <c r="BC47" s="83"/>
    </row>
    <row r="48" spans="1:57" ht="15.75" customHeight="1" thickBot="1">
      <c r="A48" s="445"/>
      <c r="B48" s="96"/>
      <c r="C48" s="96"/>
      <c r="D48" s="96"/>
      <c r="E48" s="96"/>
      <c r="F48" s="421"/>
      <c r="G48" s="423" t="s">
        <v>181</v>
      </c>
      <c r="H48" s="424">
        <f>ROUND(((B48*C48)/1000000),2)</f>
        <v>0</v>
      </c>
      <c r="I48" s="425" t="s">
        <v>24</v>
      </c>
      <c r="J48" s="366" t="s">
        <v>20</v>
      </c>
      <c r="K48" s="64"/>
      <c r="L48" s="64"/>
      <c r="M48" s="97" t="s">
        <v>26</v>
      </c>
      <c r="N48" s="98" t="s">
        <v>27</v>
      </c>
      <c r="O48" s="98" t="s">
        <v>28</v>
      </c>
      <c r="P48" s="98" t="s">
        <v>27</v>
      </c>
      <c r="Q48" s="98" t="s">
        <v>28</v>
      </c>
      <c r="R48" s="98" t="s">
        <v>29</v>
      </c>
      <c r="S48" s="66" t="s">
        <v>30</v>
      </c>
      <c r="T48" s="99" t="s">
        <v>31</v>
      </c>
      <c r="U48" s="99"/>
      <c r="V48" s="99"/>
      <c r="W48" s="98" t="s">
        <v>32</v>
      </c>
      <c r="X48" s="98" t="s">
        <v>32</v>
      </c>
      <c r="Y48" s="98"/>
      <c r="Z48" s="98" t="s">
        <v>33</v>
      </c>
      <c r="AA48" s="100" t="s">
        <v>34</v>
      </c>
      <c r="AB48" s="98" t="s">
        <v>32</v>
      </c>
      <c r="AC48" s="98" t="s">
        <v>32</v>
      </c>
      <c r="AD48" s="98" t="s">
        <v>32</v>
      </c>
      <c r="AE48" s="98" t="s">
        <v>32</v>
      </c>
      <c r="AF48" s="98" t="s">
        <v>35</v>
      </c>
      <c r="AG48" s="101" t="s">
        <v>36</v>
      </c>
      <c r="AH48" s="64"/>
      <c r="AI48" s="97" t="str">
        <f>informatieblad!$A$6</f>
        <v>FL20</v>
      </c>
      <c r="AJ48" s="99"/>
      <c r="AK48" s="97" t="str">
        <f>informatieblad!$A$7</f>
        <v>FL30</v>
      </c>
      <c r="AL48" s="66"/>
      <c r="AM48" s="99" t="str">
        <f>informatieblad!$A$8</f>
        <v>FL40</v>
      </c>
      <c r="AN48" s="66"/>
      <c r="AO48" s="97" t="str">
        <f>informatieblad!$A$5</f>
        <v>none</v>
      </c>
      <c r="AP48" s="264"/>
      <c r="AQ48" s="64"/>
      <c r="AR48" s="266" t="s">
        <v>17</v>
      </c>
      <c r="AS48" s="64"/>
      <c r="AT48" s="64"/>
      <c r="AU48" s="266" t="s">
        <v>37</v>
      </c>
      <c r="AV48" s="64"/>
      <c r="AW48" s="269" t="s">
        <v>38</v>
      </c>
      <c r="AX48" s="272"/>
      <c r="AY48" s="272">
        <f>informatieblad!$B$3</f>
        <v>0</v>
      </c>
      <c r="AZ48" s="272">
        <f>informatieblad!$B$3</f>
        <v>0</v>
      </c>
      <c r="BA48" s="272">
        <f>informatieblad!$B$4</f>
        <v>0</v>
      </c>
      <c r="BB48" s="264">
        <f>informatieblad!$B$4</f>
        <v>0</v>
      </c>
      <c r="BC48" s="83"/>
      <c r="BD48" t="s">
        <v>182</v>
      </c>
    </row>
    <row r="49" spans="1:57" ht="15" customHeight="1">
      <c r="A49" s="467"/>
      <c r="B49" s="102" t="str">
        <f>IF($C50&gt;0,IF(MAX(B48:C48)&lt;informatieblad!$Q$4,informatieblad!$P$3,IF(MAX(B48:C48)&gt;informatieblad!$R$4,informatieblad!$P$5,informatieblad!$P$4)),"")</f>
        <v/>
      </c>
      <c r="C49" s="102" t="str">
        <f>IF($C50&gt;0,IF(MAX(B48:C48)&lt;informatieblad!$Q$4,informatieblad!$P$3,IF(MAX(B48:C48)&gt;informatieblad!$R$4,informatieblad!$P$5,informatieblad!$P$4)),"")</f>
        <v/>
      </c>
      <c r="D49" s="504"/>
      <c r="E49" s="527"/>
      <c r="F49" s="505" t="str">
        <f>A48&amp;"-"&amp;informatieblad!$B$21&amp;"-"&amp;B48&amp;"-"&amp;C48&amp;"-"&amp;D48&amp;"-"&amp;E48&amp;"-"&amp;B49&amp;"-"&amp;C49&amp;"-"&amp;G50</f>
        <v>-RctV-------Options None</v>
      </c>
      <c r="G49" s="528"/>
      <c r="H49" s="528"/>
      <c r="I49" s="529"/>
      <c r="J49" s="83"/>
      <c r="K49" s="64"/>
      <c r="L49" s="64"/>
      <c r="M49" s="103">
        <f>A48</f>
        <v>0</v>
      </c>
      <c r="N49" s="104" t="s">
        <v>39</v>
      </c>
      <c r="O49" s="104" t="s">
        <v>39</v>
      </c>
      <c r="P49" s="104" t="s">
        <v>40</v>
      </c>
      <c r="Q49" s="104" t="s">
        <v>40</v>
      </c>
      <c r="R49" s="104" t="s">
        <v>40</v>
      </c>
      <c r="S49" s="105"/>
      <c r="T49" s="106" t="s">
        <v>27</v>
      </c>
      <c r="U49" s="106" t="s">
        <v>40</v>
      </c>
      <c r="V49" s="106" t="s">
        <v>41</v>
      </c>
      <c r="W49" s="104" t="s">
        <v>42</v>
      </c>
      <c r="X49" s="104" t="s">
        <v>43</v>
      </c>
      <c r="Y49" s="104"/>
      <c r="Z49" s="104" t="s">
        <v>44</v>
      </c>
      <c r="AA49" s="107"/>
      <c r="AB49" s="104" t="s">
        <v>45</v>
      </c>
      <c r="AC49" s="104" t="s">
        <v>42</v>
      </c>
      <c r="AD49" s="104" t="s">
        <v>43</v>
      </c>
      <c r="AE49" s="104" t="s">
        <v>46</v>
      </c>
      <c r="AF49" s="108"/>
      <c r="AG49" s="109"/>
      <c r="AH49" s="64"/>
      <c r="AI49" s="262" t="str">
        <f>informatieblad!$A$2</f>
        <v>FL20 loose</v>
      </c>
      <c r="AJ49" s="263"/>
      <c r="AK49" s="262" t="str">
        <f>informatieblad!$A$3</f>
        <v>FL30 loose</v>
      </c>
      <c r="AL49" s="105"/>
      <c r="AM49" s="263" t="str">
        <f>informatieblad!$A$4</f>
        <v>FL40 loose</v>
      </c>
      <c r="AN49" s="105"/>
      <c r="AO49" s="265"/>
      <c r="AP49" s="105"/>
      <c r="AQ49" s="64"/>
      <c r="AR49" s="267"/>
      <c r="AS49" s="64"/>
      <c r="AT49" s="83" t="str">
        <f>'UC mounting materials '!$B$10</f>
        <v>Rail 30x15</v>
      </c>
      <c r="AU49" s="327">
        <f>IF(Z50&lt;1000,(Z50+100),0)*C50</f>
        <v>0</v>
      </c>
      <c r="AV49" s="64"/>
      <c r="AW49" s="265" t="s">
        <v>47</v>
      </c>
      <c r="AX49" s="106" t="s">
        <v>48</v>
      </c>
      <c r="AY49" s="83" t="s">
        <v>23</v>
      </c>
      <c r="AZ49" s="83" t="s">
        <v>23</v>
      </c>
      <c r="BA49" s="83" t="s">
        <v>23</v>
      </c>
      <c r="BB49" s="273" t="s">
        <v>23</v>
      </c>
      <c r="BC49" s="83"/>
      <c r="BD49" t="s">
        <v>40</v>
      </c>
      <c r="BE49" s="83" t="s">
        <v>41</v>
      </c>
    </row>
    <row r="50" spans="1:57" ht="15.75" customHeight="1" thickBot="1">
      <c r="A50" s="468"/>
      <c r="B50" s="371" t="s">
        <v>23</v>
      </c>
      <c r="C50" s="412"/>
      <c r="D50" s="94">
        <f>C50*O50</f>
        <v>0</v>
      </c>
      <c r="E50" s="422" t="s">
        <v>24</v>
      </c>
      <c r="F50" s="93"/>
      <c r="G50" s="451" t="s">
        <v>25</v>
      </c>
      <c r="H50" s="530"/>
      <c r="I50" s="531"/>
      <c r="J50" s="83"/>
      <c r="K50" s="64"/>
      <c r="L50" s="64"/>
      <c r="M50" s="111"/>
      <c r="N50" s="112">
        <f>(((2*(B48+C48))*D48)/1000000)+(((B48-10)*(C48-10))/1000000)</f>
        <v>1E-4</v>
      </c>
      <c r="O50" s="112">
        <f>((IF(N50&lt;=informatieblad!$I$12,informatieblad!$I$12,IF(N50&gt;=informatieblad!$I$12,N50))))</f>
        <v>0.5</v>
      </c>
      <c r="P50" s="112">
        <f>(((2*B48)+(2*C48))*D48)/1000000+(((B48-10)*(C48-10))/1000000)</f>
        <v>1E-4</v>
      </c>
      <c r="Q50" s="112">
        <f>((IF(P50&lt;=informatieblad!$H$12,informatieblad!$H$12,IF(P50&gt;=informatieblad!$H$12,P50))))</f>
        <v>1E-4</v>
      </c>
      <c r="R50" s="113">
        <f>(((Q50*X50)+(Q50*U50))*C50)+BD50</f>
        <v>5</v>
      </c>
      <c r="S50" s="114">
        <f>(((O50*W50)+(O50*V50))*C50)+(BE50)</f>
        <v>12</v>
      </c>
      <c r="T50" s="115" t="str">
        <f>G50</f>
        <v>Options None</v>
      </c>
      <c r="U50" s="116">
        <f>VLOOKUP(G50,informatieblad!$A$37:$D$41,2,FALSE)</f>
        <v>0</v>
      </c>
      <c r="V50" s="116">
        <f>VLOOKUP(G50,informatieblad!$A$37:$D$41,4,FALSE)</f>
        <v>0</v>
      </c>
      <c r="W50" s="117">
        <f>((IF(D48&lt;=900,AC50,IF(D48&gt;=900,AE50))))</f>
        <v>45.1248</v>
      </c>
      <c r="X50" s="118">
        <f>((IF(D48&lt;=900,AB50,IF(D48&gt;=900,AD50))))</f>
        <v>0</v>
      </c>
      <c r="Y50" s="119"/>
      <c r="Z50" s="119">
        <f>(MAX(B48:C48))</f>
        <v>0</v>
      </c>
      <c r="AA50" s="119">
        <f>LOOKUP(Z50,informatieblad!$C$27:$C$32,informatieblad!$A$27:$A$32)</f>
        <v>0.5</v>
      </c>
      <c r="AB50" s="118">
        <f>VLOOKUP(AA50,informatieblad!$A$27:$M$32,6,FALSE)</f>
        <v>0</v>
      </c>
      <c r="AC50" s="118">
        <f>VLOOKUP(AA50,informatieblad!$A$27:$M$32,8,FALSE)</f>
        <v>45.1248</v>
      </c>
      <c r="AD50" s="118">
        <f>VLOOKUP(AA50,informatieblad!$A$27:$M$32,9,FALSE)</f>
        <v>0</v>
      </c>
      <c r="AE50" s="118">
        <f>VLOOKUP(AA50,informatieblad!$A$27:$M$32,11,FALSE)</f>
        <v>32.463200000000001</v>
      </c>
      <c r="AF50" s="120">
        <f>VLOOKUP(AA50,informatieblad!$A$27:$M$32,13,FALSE)</f>
        <v>4</v>
      </c>
      <c r="AG50" s="121">
        <f>ROUND((AF50*P50),1)</f>
        <v>0</v>
      </c>
      <c r="AH50" s="64"/>
      <c r="AI50" s="111">
        <f>(IF(B49=AI48,((2*B48)+(2*C48)),IF(B49=AI49,((2*B48)+(2*C48)),0)))*C50</f>
        <v>0</v>
      </c>
      <c r="AJ50" s="261">
        <f>(IF(C49=AI48,((2*B48)+(2*C48)),IF(C49=AI49,((2*B48)+(2*C48)),0)))*C50</f>
        <v>0</v>
      </c>
      <c r="AK50" s="111">
        <f>(IF(B49=AK48,((2*B48)+(2*C48)),IF(B49=AK49,((2*B48)+(2*C48)),0)))*C50</f>
        <v>0</v>
      </c>
      <c r="AL50" s="260">
        <f>(IF(C49=AK48,((2*B48)+(2*C48)),IF(C49=AK49,((2*B48)+(2*C48)),0)))*C50</f>
        <v>0</v>
      </c>
      <c r="AM50" s="261">
        <f>(IF(B49=AM48,((2*B48)+(2*C48)),IF(B49=AM49,((2*B48)+(2*C48)),0)))*C50</f>
        <v>0</v>
      </c>
      <c r="AN50" s="260">
        <f>(IF(C49=AM48,((2*B48)+(2*C48)),IF(C49=AM49,((2*B48)+(2*C48)),0)))*C50</f>
        <v>0</v>
      </c>
      <c r="AO50" s="111">
        <f>(IF(B49=AO48,((2*B48)+(2*C48)),0))*C50</f>
        <v>0</v>
      </c>
      <c r="AP50" s="260">
        <f>(IF(C49=AO48,((2*B48)+(2*C48)),0))*C50</f>
        <v>0</v>
      </c>
      <c r="AQ50" s="64"/>
      <c r="AR50" s="268">
        <f>D48*C50</f>
        <v>0</v>
      </c>
      <c r="AS50" s="64"/>
      <c r="AT50" s="83" t="str">
        <f>'UC mounting materials '!$B$11</f>
        <v>Rail 41x41</v>
      </c>
      <c r="AU50" s="268">
        <f>IF(Z50&gt;999,(Z50+100),0)*C50</f>
        <v>0</v>
      </c>
      <c r="AV50" s="64"/>
      <c r="AW50" s="111" t="str">
        <f>IF(B49=informatieblad!$A$6,informatieblad!$B$6,IF(B49=informatieblad!$A$7,informatieblad!$B$7,IF(B49=informatieblad!$A$8,informatieblad!$B$8,IF(B49=informatieblad!$A$2,informatieblad!$B$2,IF(B49=informatieblad!$A$3,informatieblad!$B$3,IF(B49=informatieblad!$A$4,informatieblad!$B$4,IF(B49=informatieblad!$A$5,informatieblad!$B$5,"")))))))</f>
        <v/>
      </c>
      <c r="AX50" s="275" t="str">
        <f>IF(C49=informatieblad!$A$6,informatieblad!$B$6,IF(C49=informatieblad!$A$7,informatieblad!$B$7,IF(C49=informatieblad!$A$8,informatieblad!$B$8,IF(C49=informatieblad!$A$2,informatieblad!$B$2,IF(C49=informatieblad!$A$3,informatieblad!$B$3,IF(C49=informatieblad!$A$4,informatieblad!$B$4,IF(C49=informatieblad!$A$5,informatieblad!$B$5,"")))))))</f>
        <v/>
      </c>
      <c r="AY50" s="276">
        <f>IF(AW50=AY48,(4*C50),0)</f>
        <v>0</v>
      </c>
      <c r="AZ50" s="276">
        <f>IF(AX50=AY48,(4*C50),0)</f>
        <v>0</v>
      </c>
      <c r="BA50" s="276">
        <f>IF(AW50=BA48,(4*C50),0)</f>
        <v>0</v>
      </c>
      <c r="BB50" s="274">
        <f>IF(AX50=BA48,(4*C50),0)</f>
        <v>0</v>
      </c>
      <c r="BC50" s="83"/>
      <c r="BD50" s="374">
        <v>5</v>
      </c>
      <c r="BE50">
        <f>BD50*2.4</f>
        <v>12</v>
      </c>
    </row>
    <row r="51" spans="1:57" ht="5.0999999999999996" customHeight="1" thickBot="1">
      <c r="A51" s="88"/>
      <c r="B51" s="88"/>
      <c r="C51" s="88"/>
      <c r="D51" s="88"/>
      <c r="F51" s="88"/>
      <c r="G51" s="88"/>
      <c r="H51" s="88"/>
      <c r="I51" s="88"/>
      <c r="J51" s="8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83"/>
      <c r="AJ51" s="83"/>
      <c r="AK51" s="83"/>
      <c r="AL51" s="83"/>
      <c r="AM51" s="83"/>
      <c r="AN51" s="83"/>
      <c r="AO51" s="83"/>
      <c r="AP51" s="83"/>
      <c r="AQ51" s="64"/>
      <c r="AR51" s="83"/>
      <c r="AS51" s="64"/>
      <c r="AT51" s="64"/>
      <c r="AU51" s="83"/>
      <c r="AV51" s="64"/>
      <c r="AW51" s="83"/>
      <c r="AX51" s="83"/>
      <c r="AY51" s="83"/>
      <c r="AZ51" s="83"/>
      <c r="BA51" s="83"/>
      <c r="BB51" s="83"/>
      <c r="BC51" s="83"/>
    </row>
    <row r="52" spans="1:57" ht="15.75" customHeight="1" thickBot="1">
      <c r="A52" s="445"/>
      <c r="B52" s="96"/>
      <c r="C52" s="96"/>
      <c r="D52" s="96"/>
      <c r="E52" s="96"/>
      <c r="F52" s="421"/>
      <c r="G52" s="423" t="s">
        <v>181</v>
      </c>
      <c r="H52" s="424">
        <f>ROUND(((B52*C52)/1000000),2)</f>
        <v>0</v>
      </c>
      <c r="I52" s="425" t="s">
        <v>24</v>
      </c>
      <c r="J52" s="366" t="s">
        <v>20</v>
      </c>
      <c r="K52" s="64"/>
      <c r="L52" s="64"/>
      <c r="M52" s="97" t="s">
        <v>26</v>
      </c>
      <c r="N52" s="98" t="s">
        <v>27</v>
      </c>
      <c r="O52" s="98" t="s">
        <v>28</v>
      </c>
      <c r="P52" s="98" t="s">
        <v>27</v>
      </c>
      <c r="Q52" s="98" t="s">
        <v>28</v>
      </c>
      <c r="R52" s="98" t="s">
        <v>29</v>
      </c>
      <c r="S52" s="66" t="s">
        <v>30</v>
      </c>
      <c r="T52" s="99" t="s">
        <v>31</v>
      </c>
      <c r="U52" s="99"/>
      <c r="V52" s="99"/>
      <c r="W52" s="98" t="s">
        <v>32</v>
      </c>
      <c r="X52" s="98" t="s">
        <v>32</v>
      </c>
      <c r="Y52" s="98"/>
      <c r="Z52" s="98" t="s">
        <v>33</v>
      </c>
      <c r="AA52" s="100" t="s">
        <v>34</v>
      </c>
      <c r="AB52" s="98" t="s">
        <v>32</v>
      </c>
      <c r="AC52" s="98" t="s">
        <v>32</v>
      </c>
      <c r="AD52" s="98" t="s">
        <v>32</v>
      </c>
      <c r="AE52" s="98" t="s">
        <v>32</v>
      </c>
      <c r="AF52" s="98" t="s">
        <v>35</v>
      </c>
      <c r="AG52" s="101" t="s">
        <v>36</v>
      </c>
      <c r="AH52" s="64"/>
      <c r="AI52" s="97" t="str">
        <f>informatieblad!$A$6</f>
        <v>FL20</v>
      </c>
      <c r="AJ52" s="99"/>
      <c r="AK52" s="97" t="str">
        <f>informatieblad!$A$7</f>
        <v>FL30</v>
      </c>
      <c r="AL52" s="66"/>
      <c r="AM52" s="99" t="str">
        <f>informatieblad!$A$8</f>
        <v>FL40</v>
      </c>
      <c r="AN52" s="66"/>
      <c r="AO52" s="97" t="str">
        <f>informatieblad!$A$5</f>
        <v>none</v>
      </c>
      <c r="AP52" s="264"/>
      <c r="AQ52" s="64"/>
      <c r="AR52" s="266" t="s">
        <v>17</v>
      </c>
      <c r="AS52" s="64"/>
      <c r="AT52" s="64"/>
      <c r="AU52" s="266" t="s">
        <v>37</v>
      </c>
      <c r="AV52" s="64"/>
      <c r="AW52" s="269" t="s">
        <v>38</v>
      </c>
      <c r="AX52" s="272"/>
      <c r="AY52" s="272">
        <f>informatieblad!$B$3</f>
        <v>0</v>
      </c>
      <c r="AZ52" s="272">
        <f>informatieblad!$B$3</f>
        <v>0</v>
      </c>
      <c r="BA52" s="272">
        <f>informatieblad!$B$4</f>
        <v>0</v>
      </c>
      <c r="BB52" s="264">
        <f>informatieblad!$B$4</f>
        <v>0</v>
      </c>
      <c r="BC52" s="83"/>
      <c r="BD52" t="s">
        <v>182</v>
      </c>
    </row>
    <row r="53" spans="1:57" ht="15" customHeight="1">
      <c r="A53" s="467"/>
      <c r="B53" s="102" t="str">
        <f>IF($C54&gt;0,IF(MAX(B52:C52)&lt;informatieblad!$Q$4,informatieblad!$P$3,IF(MAX(B52:C52)&gt;informatieblad!$R$4,informatieblad!$P$5,informatieblad!$P$4)),"")</f>
        <v/>
      </c>
      <c r="C53" s="102" t="str">
        <f>IF($C54&gt;0,IF(MAX(B52:C52)&lt;informatieblad!$Q$4,informatieblad!$P$3,IF(MAX(B52:C52)&gt;informatieblad!$R$4,informatieblad!$P$5,informatieblad!$P$4)),"")</f>
        <v/>
      </c>
      <c r="D53" s="504"/>
      <c r="E53" s="527"/>
      <c r="F53" s="505" t="str">
        <f>A52&amp;"-"&amp;informatieblad!$B$21&amp;"-"&amp;B52&amp;"-"&amp;C52&amp;"-"&amp;D52&amp;"-"&amp;E52&amp;"-"&amp;B53&amp;"-"&amp;C53&amp;"-"&amp;G54</f>
        <v>-RctV-------Options None</v>
      </c>
      <c r="G53" s="528"/>
      <c r="H53" s="528"/>
      <c r="I53" s="529"/>
      <c r="J53" s="83"/>
      <c r="K53" s="64"/>
      <c r="L53" s="64"/>
      <c r="M53" s="103">
        <f t="shared" ref="M53" si="104">A52</f>
        <v>0</v>
      </c>
      <c r="N53" s="104" t="s">
        <v>39</v>
      </c>
      <c r="O53" s="104" t="s">
        <v>39</v>
      </c>
      <c r="P53" s="104" t="s">
        <v>40</v>
      </c>
      <c r="Q53" s="104" t="s">
        <v>40</v>
      </c>
      <c r="R53" s="104" t="s">
        <v>40</v>
      </c>
      <c r="S53" s="105"/>
      <c r="T53" s="106" t="s">
        <v>27</v>
      </c>
      <c r="U53" s="106" t="s">
        <v>40</v>
      </c>
      <c r="V53" s="106" t="s">
        <v>41</v>
      </c>
      <c r="W53" s="104" t="s">
        <v>42</v>
      </c>
      <c r="X53" s="104" t="s">
        <v>43</v>
      </c>
      <c r="Y53" s="104"/>
      <c r="Z53" s="104" t="s">
        <v>44</v>
      </c>
      <c r="AA53" s="107"/>
      <c r="AB53" s="104" t="s">
        <v>45</v>
      </c>
      <c r="AC53" s="104" t="s">
        <v>42</v>
      </c>
      <c r="AD53" s="104" t="s">
        <v>43</v>
      </c>
      <c r="AE53" s="104" t="s">
        <v>46</v>
      </c>
      <c r="AF53" s="108"/>
      <c r="AG53" s="109"/>
      <c r="AH53" s="64"/>
      <c r="AI53" s="262" t="str">
        <f>informatieblad!$A$2</f>
        <v>FL20 loose</v>
      </c>
      <c r="AJ53" s="263"/>
      <c r="AK53" s="262" t="str">
        <f>informatieblad!$A$3</f>
        <v>FL30 loose</v>
      </c>
      <c r="AL53" s="105"/>
      <c r="AM53" s="263" t="str">
        <f>informatieblad!$A$4</f>
        <v>FL40 loose</v>
      </c>
      <c r="AN53" s="105"/>
      <c r="AO53" s="265"/>
      <c r="AP53" s="105"/>
      <c r="AQ53" s="64"/>
      <c r="AR53" s="267"/>
      <c r="AS53" s="64"/>
      <c r="AT53" s="83" t="str">
        <f>'UC mounting materials '!$B$10</f>
        <v>Rail 30x15</v>
      </c>
      <c r="AU53" s="327">
        <f t="shared" ref="AU53" si="105">IF(Z54&lt;1000,(Z54+100),0)*C54</f>
        <v>0</v>
      </c>
      <c r="AV53" s="64"/>
      <c r="AW53" s="265" t="s">
        <v>47</v>
      </c>
      <c r="AX53" s="106" t="s">
        <v>48</v>
      </c>
      <c r="AY53" s="83" t="s">
        <v>23</v>
      </c>
      <c r="AZ53" s="83" t="s">
        <v>23</v>
      </c>
      <c r="BA53" s="83" t="s">
        <v>23</v>
      </c>
      <c r="BB53" s="273" t="s">
        <v>23</v>
      </c>
      <c r="BC53" s="83"/>
      <c r="BD53" t="s">
        <v>40</v>
      </c>
      <c r="BE53" s="83" t="s">
        <v>41</v>
      </c>
    </row>
    <row r="54" spans="1:57" ht="15.75" customHeight="1" thickBot="1">
      <c r="A54" s="468"/>
      <c r="B54" s="371" t="s">
        <v>23</v>
      </c>
      <c r="C54" s="412"/>
      <c r="D54" s="94">
        <f>C54*O54</f>
        <v>0</v>
      </c>
      <c r="E54" s="422" t="s">
        <v>24</v>
      </c>
      <c r="F54" s="93"/>
      <c r="G54" s="451" t="s">
        <v>25</v>
      </c>
      <c r="H54" s="530"/>
      <c r="I54" s="531"/>
      <c r="J54" s="83"/>
      <c r="K54" s="64"/>
      <c r="L54" s="64"/>
      <c r="M54" s="111"/>
      <c r="N54" s="112">
        <f t="shared" ref="N54" si="106">(((2*(B52+C52))*D52)/1000000)+(((B52-10)*(C52-10))/1000000)</f>
        <v>1E-4</v>
      </c>
      <c r="O54" s="112">
        <f>((IF(N54&lt;=informatieblad!$I$12,informatieblad!$I$12,IF(N54&gt;=informatieblad!$I$12,N54))))</f>
        <v>0.5</v>
      </c>
      <c r="P54" s="112">
        <f t="shared" ref="P54" si="107">(((2*B52)+(2*C52))*D52)/1000000+(((B52-10)*(C52-10))/1000000)</f>
        <v>1E-4</v>
      </c>
      <c r="Q54" s="112">
        <f>((IF(P54&lt;=informatieblad!$H$12,informatieblad!$H$12,IF(P54&gt;=informatieblad!$H$12,P54))))</f>
        <v>1E-4</v>
      </c>
      <c r="R54" s="113">
        <f t="shared" ref="R54" si="108">(((Q54*X54)+(Q54*U54))*C54)+BD54</f>
        <v>5</v>
      </c>
      <c r="S54" s="114">
        <f t="shared" ref="S54" si="109">(((O54*W54)+(O54*V54))*C54)+(BE54)</f>
        <v>12</v>
      </c>
      <c r="T54" s="115" t="str">
        <f t="shared" ref="T54" si="110">G54</f>
        <v>Options None</v>
      </c>
      <c r="U54" s="116">
        <f>VLOOKUP(G54,informatieblad!$A$37:$D$41,2,FALSE)</f>
        <v>0</v>
      </c>
      <c r="V54" s="116">
        <f>VLOOKUP(G54,informatieblad!$A$37:$D$41,4,FALSE)</f>
        <v>0</v>
      </c>
      <c r="W54" s="117">
        <f t="shared" ref="W54" si="111">((IF(D52&lt;=900,AC54,IF(D52&gt;=900,AE54))))</f>
        <v>45.1248</v>
      </c>
      <c r="X54" s="118">
        <f t="shared" ref="X54" si="112">((IF(D52&lt;=900,AB54,IF(D52&gt;=900,AD54))))</f>
        <v>0</v>
      </c>
      <c r="Y54" s="119"/>
      <c r="Z54" s="119">
        <f t="shared" ref="Z54" si="113">(MAX(B52:C52))</f>
        <v>0</v>
      </c>
      <c r="AA54" s="119">
        <f>LOOKUP(Z54,informatieblad!$C$27:$C$32,informatieblad!$A$27:$A$32)</f>
        <v>0.5</v>
      </c>
      <c r="AB54" s="118">
        <f>VLOOKUP(AA54,informatieblad!$A$27:$M$32,6,FALSE)</f>
        <v>0</v>
      </c>
      <c r="AC54" s="118">
        <f>VLOOKUP(AA54,informatieblad!$A$27:$M$32,8,FALSE)</f>
        <v>45.1248</v>
      </c>
      <c r="AD54" s="118">
        <f>VLOOKUP(AA54,informatieblad!$A$27:$M$32,9,FALSE)</f>
        <v>0</v>
      </c>
      <c r="AE54" s="118">
        <f>VLOOKUP(AA54,informatieblad!$A$27:$M$32,11,FALSE)</f>
        <v>32.463200000000001</v>
      </c>
      <c r="AF54" s="120">
        <f>VLOOKUP(AA54,informatieblad!$A$27:$M$32,13,FALSE)</f>
        <v>4</v>
      </c>
      <c r="AG54" s="121">
        <f t="shared" ref="AG54" si="114">ROUND((AF54*P54),1)</f>
        <v>0</v>
      </c>
      <c r="AH54" s="64"/>
      <c r="AI54" s="111">
        <f t="shared" ref="AI54" si="115">(IF(B53=AI52,((2*B52)+(2*C52)),IF(B53=AI53,((2*B52)+(2*C52)),0)))*C54</f>
        <v>0</v>
      </c>
      <c r="AJ54" s="261">
        <f t="shared" ref="AJ54" si="116">(IF(C53=AI52,((2*B52)+(2*C52)),IF(C53=AI53,((2*B52)+(2*C52)),0)))*C54</f>
        <v>0</v>
      </c>
      <c r="AK54" s="111">
        <f t="shared" ref="AK54" si="117">(IF(B53=AK52,((2*B52)+(2*C52)),IF(B53=AK53,((2*B52)+(2*C52)),0)))*C54</f>
        <v>0</v>
      </c>
      <c r="AL54" s="260">
        <f t="shared" ref="AL54" si="118">(IF(C53=AK52,((2*B52)+(2*C52)),IF(C53=AK53,((2*B52)+(2*C52)),0)))*C54</f>
        <v>0</v>
      </c>
      <c r="AM54" s="261">
        <f t="shared" ref="AM54" si="119">(IF(B53=AM52,((2*B52)+(2*C52)),IF(B53=AM53,((2*B52)+(2*C52)),0)))*C54</f>
        <v>0</v>
      </c>
      <c r="AN54" s="260">
        <f t="shared" ref="AN54" si="120">(IF(C53=AM52,((2*B52)+(2*C52)),IF(C53=AM53,((2*B52)+(2*C52)),0)))*C54</f>
        <v>0</v>
      </c>
      <c r="AO54" s="111">
        <f t="shared" ref="AO54" si="121">(IF(B53=AO52,((2*B52)+(2*C52)),0))*C54</f>
        <v>0</v>
      </c>
      <c r="AP54" s="260">
        <f t="shared" ref="AP54" si="122">(IF(C53=AO52,((2*B52)+(2*C52)),0))*C54</f>
        <v>0</v>
      </c>
      <c r="AQ54" s="64"/>
      <c r="AR54" s="268">
        <f t="shared" ref="AR54" si="123">D52*C54</f>
        <v>0</v>
      </c>
      <c r="AS54" s="64"/>
      <c r="AT54" s="83" t="str">
        <f>'UC mounting materials '!$B$11</f>
        <v>Rail 41x41</v>
      </c>
      <c r="AU54" s="268">
        <f t="shared" ref="AU54" si="124">IF(Z54&gt;999,(Z54+100),0)*C54</f>
        <v>0</v>
      </c>
      <c r="AV54" s="64"/>
      <c r="AW54" s="111" t="str">
        <f>IF(B53=informatieblad!$A$6,informatieblad!$B$6,IF(B53=informatieblad!$A$7,informatieblad!$B$7,IF(B53=informatieblad!$A$8,informatieblad!$B$8,IF(B53=informatieblad!$A$2,informatieblad!$B$2,IF(B53=informatieblad!$A$3,informatieblad!$B$3,IF(B53=informatieblad!$A$4,informatieblad!$B$4,IF(B53=informatieblad!$A$5,informatieblad!$B$5,"")))))))</f>
        <v/>
      </c>
      <c r="AX54" s="275" t="str">
        <f>IF(C53=informatieblad!$A$6,informatieblad!$B$6,IF(C53=informatieblad!$A$7,informatieblad!$B$7,IF(C53=informatieblad!$A$8,informatieblad!$B$8,IF(C53=informatieblad!$A$2,informatieblad!$B$2,IF(C53=informatieblad!$A$3,informatieblad!$B$3,IF(C53=informatieblad!$A$4,informatieblad!$B$4,IF(C53=informatieblad!$A$5,informatieblad!$B$5,"")))))))</f>
        <v/>
      </c>
      <c r="AY54" s="276">
        <f t="shared" ref="AY54" si="125">IF(AW54=AY52,(4*C54),0)</f>
        <v>0</v>
      </c>
      <c r="AZ54" s="276">
        <f t="shared" ref="AZ54" si="126">IF(AX54=AY52,(4*C54),0)</f>
        <v>0</v>
      </c>
      <c r="BA54" s="276">
        <f t="shared" ref="BA54" si="127">IF(AW54=BA52,(4*C54),0)</f>
        <v>0</v>
      </c>
      <c r="BB54" s="274">
        <f t="shared" ref="BB54" si="128">IF(AX54=BA52,(4*C54),0)</f>
        <v>0</v>
      </c>
      <c r="BC54" s="83"/>
      <c r="BD54" s="374">
        <v>5</v>
      </c>
      <c r="BE54">
        <f t="shared" ref="BE54" si="129">BD54*2.4</f>
        <v>12</v>
      </c>
    </row>
    <row r="55" spans="1:57" ht="15.75" thickBot="1">
      <c r="A55" s="88"/>
      <c r="B55" s="88"/>
      <c r="C55" s="88"/>
      <c r="D55" s="88"/>
      <c r="F55" s="88"/>
      <c r="G55" s="88"/>
      <c r="H55" s="88"/>
      <c r="I55" s="88"/>
      <c r="J55" s="8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83"/>
      <c r="AJ55" s="83"/>
      <c r="AK55" s="83"/>
      <c r="AL55" s="83"/>
      <c r="AM55" s="83"/>
      <c r="AN55" s="83"/>
      <c r="AO55" s="83"/>
      <c r="AP55" s="83"/>
      <c r="AQ55" s="64"/>
      <c r="AR55" s="83"/>
      <c r="AS55" s="64"/>
      <c r="AT55" s="64"/>
      <c r="AU55" s="83"/>
      <c r="AV55" s="64"/>
      <c r="AW55" s="83"/>
      <c r="AX55" s="83"/>
      <c r="AY55" s="83"/>
      <c r="AZ55" s="83"/>
      <c r="BA55" s="83"/>
      <c r="BB55" s="83"/>
      <c r="BC55" s="83"/>
    </row>
    <row r="56" spans="1:57" ht="15.75" customHeight="1" thickBot="1">
      <c r="A56" s="445"/>
      <c r="B56" s="96"/>
      <c r="C56" s="96"/>
      <c r="D56" s="96"/>
      <c r="E56" s="96"/>
      <c r="F56" s="421"/>
      <c r="G56" s="423" t="s">
        <v>181</v>
      </c>
      <c r="H56" s="424">
        <f>ROUND(((B56*C56)/1000000),2)</f>
        <v>0</v>
      </c>
      <c r="I56" s="425" t="s">
        <v>24</v>
      </c>
      <c r="J56" s="366" t="s">
        <v>20</v>
      </c>
      <c r="K56" s="64"/>
      <c r="L56" s="64"/>
      <c r="M56" s="97" t="s">
        <v>26</v>
      </c>
      <c r="N56" s="98" t="s">
        <v>27</v>
      </c>
      <c r="O56" s="98" t="s">
        <v>28</v>
      </c>
      <c r="P56" s="98" t="s">
        <v>27</v>
      </c>
      <c r="Q56" s="98" t="s">
        <v>28</v>
      </c>
      <c r="R56" s="98" t="s">
        <v>29</v>
      </c>
      <c r="S56" s="66" t="s">
        <v>30</v>
      </c>
      <c r="T56" s="99" t="s">
        <v>31</v>
      </c>
      <c r="U56" s="99"/>
      <c r="V56" s="99"/>
      <c r="W56" s="98" t="s">
        <v>32</v>
      </c>
      <c r="X56" s="98" t="s">
        <v>32</v>
      </c>
      <c r="Y56" s="98"/>
      <c r="Z56" s="98" t="s">
        <v>33</v>
      </c>
      <c r="AA56" s="100" t="s">
        <v>34</v>
      </c>
      <c r="AB56" s="98" t="s">
        <v>32</v>
      </c>
      <c r="AC56" s="98" t="s">
        <v>32</v>
      </c>
      <c r="AD56" s="98" t="s">
        <v>32</v>
      </c>
      <c r="AE56" s="98" t="s">
        <v>32</v>
      </c>
      <c r="AF56" s="98" t="s">
        <v>35</v>
      </c>
      <c r="AG56" s="101" t="s">
        <v>36</v>
      </c>
      <c r="AH56" s="64"/>
      <c r="AI56" s="97" t="str">
        <f>informatieblad!$A$6</f>
        <v>FL20</v>
      </c>
      <c r="AJ56" s="99"/>
      <c r="AK56" s="97" t="str">
        <f>informatieblad!$A$7</f>
        <v>FL30</v>
      </c>
      <c r="AL56" s="66"/>
      <c r="AM56" s="99" t="str">
        <f>informatieblad!$A$8</f>
        <v>FL40</v>
      </c>
      <c r="AN56" s="66"/>
      <c r="AO56" s="97" t="str">
        <f>informatieblad!$A$5</f>
        <v>none</v>
      </c>
      <c r="AP56" s="264"/>
      <c r="AQ56" s="64"/>
      <c r="AR56" s="266" t="s">
        <v>17</v>
      </c>
      <c r="AS56" s="64"/>
      <c r="AT56" s="64"/>
      <c r="AU56" s="266" t="s">
        <v>37</v>
      </c>
      <c r="AV56" s="64"/>
      <c r="AW56" s="269" t="s">
        <v>38</v>
      </c>
      <c r="AX56" s="272"/>
      <c r="AY56" s="272">
        <f>informatieblad!$B$3</f>
        <v>0</v>
      </c>
      <c r="AZ56" s="272">
        <f>informatieblad!$B$3</f>
        <v>0</v>
      </c>
      <c r="BA56" s="272">
        <f>informatieblad!$B$4</f>
        <v>0</v>
      </c>
      <c r="BB56" s="264">
        <f>informatieblad!$B$4</f>
        <v>0</v>
      </c>
      <c r="BC56" s="83"/>
      <c r="BD56" t="s">
        <v>182</v>
      </c>
    </row>
    <row r="57" spans="1:57" ht="15" customHeight="1">
      <c r="A57" s="467"/>
      <c r="B57" s="102" t="str">
        <f>IF($C58&gt;0,IF(MAX(B56:C56)&lt;informatieblad!$Q$4,informatieblad!$P$3,IF(MAX(B56:C56)&gt;informatieblad!$R$4,informatieblad!$P$5,informatieblad!$P$4)),"")</f>
        <v/>
      </c>
      <c r="C57" s="102" t="str">
        <f>IF($C58&gt;0,IF(MAX(B56:C56)&lt;informatieblad!$Q$4,informatieblad!$P$3,IF(MAX(B56:C56)&gt;informatieblad!$R$4,informatieblad!$P$5,informatieblad!$P$4)),"")</f>
        <v/>
      </c>
      <c r="D57" s="504"/>
      <c r="E57" s="527"/>
      <c r="F57" s="505" t="str">
        <f>A56&amp;"-"&amp;informatieblad!$B$21&amp;"-"&amp;B56&amp;"-"&amp;C56&amp;"-"&amp;D56&amp;"-"&amp;E56&amp;"-"&amp;B57&amp;"-"&amp;C57&amp;"-"&amp;G58</f>
        <v>-RctV-------Options None</v>
      </c>
      <c r="G57" s="528"/>
      <c r="H57" s="528"/>
      <c r="I57" s="529"/>
      <c r="J57" s="83"/>
      <c r="K57" s="64"/>
      <c r="L57" s="64"/>
      <c r="M57" s="103">
        <f t="shared" ref="M57" si="130">A56</f>
        <v>0</v>
      </c>
      <c r="N57" s="104" t="s">
        <v>39</v>
      </c>
      <c r="O57" s="104" t="s">
        <v>39</v>
      </c>
      <c r="P57" s="104" t="s">
        <v>40</v>
      </c>
      <c r="Q57" s="104" t="s">
        <v>40</v>
      </c>
      <c r="R57" s="104" t="s">
        <v>40</v>
      </c>
      <c r="S57" s="105"/>
      <c r="T57" s="106" t="s">
        <v>27</v>
      </c>
      <c r="U57" s="106" t="s">
        <v>40</v>
      </c>
      <c r="V57" s="106" t="s">
        <v>41</v>
      </c>
      <c r="W57" s="104" t="s">
        <v>42</v>
      </c>
      <c r="X57" s="104" t="s">
        <v>43</v>
      </c>
      <c r="Y57" s="104"/>
      <c r="Z57" s="104" t="s">
        <v>44</v>
      </c>
      <c r="AA57" s="107"/>
      <c r="AB57" s="104" t="s">
        <v>45</v>
      </c>
      <c r="AC57" s="104" t="s">
        <v>42</v>
      </c>
      <c r="AD57" s="104" t="s">
        <v>43</v>
      </c>
      <c r="AE57" s="104" t="s">
        <v>46</v>
      </c>
      <c r="AF57" s="108"/>
      <c r="AG57" s="109"/>
      <c r="AH57" s="64"/>
      <c r="AI57" s="262" t="str">
        <f>informatieblad!$A$2</f>
        <v>FL20 loose</v>
      </c>
      <c r="AJ57" s="263"/>
      <c r="AK57" s="262" t="str">
        <f>informatieblad!$A$3</f>
        <v>FL30 loose</v>
      </c>
      <c r="AL57" s="105"/>
      <c r="AM57" s="263" t="str">
        <f>informatieblad!$A$4</f>
        <v>FL40 loose</v>
      </c>
      <c r="AN57" s="105"/>
      <c r="AO57" s="265"/>
      <c r="AP57" s="105"/>
      <c r="AQ57" s="64"/>
      <c r="AR57" s="267"/>
      <c r="AS57" s="64"/>
      <c r="AT57" s="83" t="str">
        <f>'UC mounting materials '!$B$10</f>
        <v>Rail 30x15</v>
      </c>
      <c r="AU57" s="327">
        <f t="shared" ref="AU57" si="131">IF(Z58&lt;1000,(Z58+100),0)*C58</f>
        <v>0</v>
      </c>
      <c r="AV57" s="64"/>
      <c r="AW57" s="265" t="s">
        <v>47</v>
      </c>
      <c r="AX57" s="106" t="s">
        <v>48</v>
      </c>
      <c r="AY57" s="83" t="s">
        <v>23</v>
      </c>
      <c r="AZ57" s="83" t="s">
        <v>23</v>
      </c>
      <c r="BA57" s="83" t="s">
        <v>23</v>
      </c>
      <c r="BB57" s="273" t="s">
        <v>23</v>
      </c>
      <c r="BC57" s="83"/>
      <c r="BD57" t="s">
        <v>40</v>
      </c>
      <c r="BE57" s="83" t="s">
        <v>41</v>
      </c>
    </row>
    <row r="58" spans="1:57" ht="15.75" customHeight="1" thickBot="1">
      <c r="A58" s="468"/>
      <c r="B58" s="371" t="s">
        <v>23</v>
      </c>
      <c r="C58" s="412"/>
      <c r="D58" s="94">
        <f>C58*O58</f>
        <v>0</v>
      </c>
      <c r="E58" s="422" t="s">
        <v>24</v>
      </c>
      <c r="F58" s="93"/>
      <c r="G58" s="451" t="s">
        <v>25</v>
      </c>
      <c r="H58" s="530"/>
      <c r="I58" s="531"/>
      <c r="J58" s="83"/>
      <c r="K58" s="64"/>
      <c r="L58" s="64"/>
      <c r="M58" s="111"/>
      <c r="N58" s="112">
        <f t="shared" ref="N58" si="132">(((2*(B56+C56))*D56)/1000000)+(((B56-10)*(C56-10))/1000000)</f>
        <v>1E-4</v>
      </c>
      <c r="O58" s="112">
        <f>((IF(N58&lt;=informatieblad!$I$12,informatieblad!$I$12,IF(N58&gt;=informatieblad!$I$12,N58))))</f>
        <v>0.5</v>
      </c>
      <c r="P58" s="112">
        <f t="shared" ref="P58" si="133">(((2*B56)+(2*C56))*D56)/1000000+(((B56-10)*(C56-10))/1000000)</f>
        <v>1E-4</v>
      </c>
      <c r="Q58" s="112">
        <f>((IF(P58&lt;=informatieblad!$H$12,informatieblad!$H$12,IF(P58&gt;=informatieblad!$H$12,P58))))</f>
        <v>1E-4</v>
      </c>
      <c r="R58" s="113">
        <f t="shared" ref="R58" si="134">(((Q58*X58)+(Q58*U58))*C58)+BD58</f>
        <v>5</v>
      </c>
      <c r="S58" s="114">
        <f t="shared" ref="S58" si="135">(((O58*W58)+(O58*V58))*C58)+(BE58)</f>
        <v>12</v>
      </c>
      <c r="T58" s="115" t="str">
        <f t="shared" ref="T58" si="136">G58</f>
        <v>Options None</v>
      </c>
      <c r="U58" s="116">
        <f>VLOOKUP(G58,informatieblad!$A$37:$D$41,2,FALSE)</f>
        <v>0</v>
      </c>
      <c r="V58" s="116">
        <f>VLOOKUP(G58,informatieblad!$A$37:$D$41,4,FALSE)</f>
        <v>0</v>
      </c>
      <c r="W58" s="117">
        <f t="shared" ref="W58" si="137">((IF(D56&lt;=900,AC58,IF(D56&gt;=900,AE58))))</f>
        <v>45.1248</v>
      </c>
      <c r="X58" s="118">
        <f t="shared" ref="X58" si="138">((IF(D56&lt;=900,AB58,IF(D56&gt;=900,AD58))))</f>
        <v>0</v>
      </c>
      <c r="Y58" s="119"/>
      <c r="Z58" s="119">
        <f t="shared" ref="Z58" si="139">(MAX(B56:C56))</f>
        <v>0</v>
      </c>
      <c r="AA58" s="119">
        <f>LOOKUP(Z58,informatieblad!$C$27:$C$32,informatieblad!$A$27:$A$32)</f>
        <v>0.5</v>
      </c>
      <c r="AB58" s="118">
        <f>VLOOKUP(AA58,informatieblad!$A$27:$M$32,6,FALSE)</f>
        <v>0</v>
      </c>
      <c r="AC58" s="118">
        <f>VLOOKUP(AA58,informatieblad!$A$27:$M$32,8,FALSE)</f>
        <v>45.1248</v>
      </c>
      <c r="AD58" s="118">
        <f>VLOOKUP(AA58,informatieblad!$A$27:$M$32,9,FALSE)</f>
        <v>0</v>
      </c>
      <c r="AE58" s="118">
        <f>VLOOKUP(AA58,informatieblad!$A$27:$M$32,11,FALSE)</f>
        <v>32.463200000000001</v>
      </c>
      <c r="AF58" s="120">
        <f>VLOOKUP(AA58,informatieblad!$A$27:$M$32,13,FALSE)</f>
        <v>4</v>
      </c>
      <c r="AG58" s="121">
        <f t="shared" ref="AG58" si="140">ROUND((AF58*P58),1)</f>
        <v>0</v>
      </c>
      <c r="AH58" s="64"/>
      <c r="AI58" s="111">
        <f t="shared" ref="AI58" si="141">(IF(B57=AI56,((2*B56)+(2*C56)),IF(B57=AI57,((2*B56)+(2*C56)),0)))*C58</f>
        <v>0</v>
      </c>
      <c r="AJ58" s="261">
        <f t="shared" ref="AJ58" si="142">(IF(C57=AI56,((2*B56)+(2*C56)),IF(C57=AI57,((2*B56)+(2*C56)),0)))*C58</f>
        <v>0</v>
      </c>
      <c r="AK58" s="111">
        <f t="shared" ref="AK58" si="143">(IF(B57=AK56,((2*B56)+(2*C56)),IF(B57=AK57,((2*B56)+(2*C56)),0)))*C58</f>
        <v>0</v>
      </c>
      <c r="AL58" s="260">
        <f t="shared" ref="AL58" si="144">(IF(C57=AK56,((2*B56)+(2*C56)),IF(C57=AK57,((2*B56)+(2*C56)),0)))*C58</f>
        <v>0</v>
      </c>
      <c r="AM58" s="261">
        <f t="shared" ref="AM58" si="145">(IF(B57=AM56,((2*B56)+(2*C56)),IF(B57=AM57,((2*B56)+(2*C56)),0)))*C58</f>
        <v>0</v>
      </c>
      <c r="AN58" s="260">
        <f t="shared" ref="AN58" si="146">(IF(C57=AM56,((2*B56)+(2*C56)),IF(C57=AM57,((2*B56)+(2*C56)),0)))*C58</f>
        <v>0</v>
      </c>
      <c r="AO58" s="111">
        <f t="shared" ref="AO58" si="147">(IF(B57=AO56,((2*B56)+(2*C56)),0))*C58</f>
        <v>0</v>
      </c>
      <c r="AP58" s="260">
        <f t="shared" ref="AP58" si="148">(IF(C57=AO56,((2*B56)+(2*C56)),0))*C58</f>
        <v>0</v>
      </c>
      <c r="AQ58" s="64"/>
      <c r="AR58" s="268">
        <f t="shared" ref="AR58" si="149">D56*C58</f>
        <v>0</v>
      </c>
      <c r="AS58" s="64"/>
      <c r="AT58" s="83" t="str">
        <f>'UC mounting materials '!$B$11</f>
        <v>Rail 41x41</v>
      </c>
      <c r="AU58" s="268">
        <f t="shared" ref="AU58" si="150">IF(Z58&gt;999,(Z58+100),0)*C58</f>
        <v>0</v>
      </c>
      <c r="AV58" s="64"/>
      <c r="AW58" s="111" t="str">
        <f>IF(B57=informatieblad!$A$6,informatieblad!$B$6,IF(B57=informatieblad!$A$7,informatieblad!$B$7,IF(B57=informatieblad!$A$8,informatieblad!$B$8,IF(B57=informatieblad!$A$2,informatieblad!$B$2,IF(B57=informatieblad!$A$3,informatieblad!$B$3,IF(B57=informatieblad!$A$4,informatieblad!$B$4,IF(B57=informatieblad!$A$5,informatieblad!$B$5,"")))))))</f>
        <v/>
      </c>
      <c r="AX58" s="275" t="str">
        <f>IF(C57=informatieblad!$A$6,informatieblad!$B$6,IF(C57=informatieblad!$A$7,informatieblad!$B$7,IF(C57=informatieblad!$A$8,informatieblad!$B$8,IF(C57=informatieblad!$A$2,informatieblad!$B$2,IF(C57=informatieblad!$A$3,informatieblad!$B$3,IF(C57=informatieblad!$A$4,informatieblad!$B$4,IF(C57=informatieblad!$A$5,informatieblad!$B$5,"")))))))</f>
        <v/>
      </c>
      <c r="AY58" s="276">
        <f t="shared" ref="AY58" si="151">IF(AW58=AY56,(4*C58),0)</f>
        <v>0</v>
      </c>
      <c r="AZ58" s="276">
        <f t="shared" ref="AZ58" si="152">IF(AX58=AY56,(4*C58),0)</f>
        <v>0</v>
      </c>
      <c r="BA58" s="276">
        <f t="shared" ref="BA58" si="153">IF(AW58=BA56,(4*C58),0)</f>
        <v>0</v>
      </c>
      <c r="BB58" s="274">
        <f t="shared" ref="BB58" si="154">IF(AX58=BA56,(4*C58),0)</f>
        <v>0</v>
      </c>
      <c r="BC58" s="83"/>
      <c r="BD58" s="374">
        <v>5</v>
      </c>
      <c r="BE58">
        <f t="shared" ref="BE58" si="155">BD58*2.4</f>
        <v>12</v>
      </c>
    </row>
    <row r="59" spans="1:57" ht="15.75" thickBot="1">
      <c r="A59" s="88"/>
      <c r="B59" s="88"/>
      <c r="C59" s="88"/>
      <c r="D59" s="88"/>
      <c r="F59" s="88"/>
      <c r="G59" s="88"/>
      <c r="H59" s="88"/>
      <c r="I59" s="88"/>
      <c r="J59" s="83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83"/>
      <c r="AJ59" s="83"/>
      <c r="AK59" s="83"/>
      <c r="AL59" s="83"/>
      <c r="AM59" s="83"/>
      <c r="AN59" s="83"/>
      <c r="AO59" s="83"/>
      <c r="AP59" s="83"/>
      <c r="AQ59" s="64"/>
      <c r="AR59" s="83"/>
      <c r="AS59" s="64"/>
      <c r="AT59" s="64"/>
      <c r="AU59" s="83"/>
      <c r="AV59" s="64"/>
      <c r="AW59" s="83"/>
      <c r="AX59" s="83"/>
      <c r="AY59" s="83"/>
      <c r="AZ59" s="83"/>
      <c r="BA59" s="83"/>
      <c r="BB59" s="83"/>
      <c r="BC59" s="83"/>
    </row>
    <row r="60" spans="1:57" ht="15.75" customHeight="1" thickBot="1">
      <c r="A60" s="445"/>
      <c r="B60" s="96"/>
      <c r="C60" s="96"/>
      <c r="D60" s="96"/>
      <c r="E60" s="96"/>
      <c r="F60" s="421"/>
      <c r="G60" s="423" t="s">
        <v>181</v>
      </c>
      <c r="H60" s="424">
        <f>ROUND(((B60*C60)/1000000),2)</f>
        <v>0</v>
      </c>
      <c r="I60" s="425" t="s">
        <v>24</v>
      </c>
      <c r="J60" s="366" t="s">
        <v>20</v>
      </c>
      <c r="K60" s="64"/>
      <c r="L60" s="64"/>
      <c r="M60" s="97" t="s">
        <v>26</v>
      </c>
      <c r="N60" s="98" t="s">
        <v>27</v>
      </c>
      <c r="O60" s="98" t="s">
        <v>28</v>
      </c>
      <c r="P60" s="98" t="s">
        <v>27</v>
      </c>
      <c r="Q60" s="98" t="s">
        <v>28</v>
      </c>
      <c r="R60" s="98" t="s">
        <v>29</v>
      </c>
      <c r="S60" s="66" t="s">
        <v>30</v>
      </c>
      <c r="T60" s="99" t="s">
        <v>31</v>
      </c>
      <c r="U60" s="99"/>
      <c r="V60" s="99"/>
      <c r="W60" s="98" t="s">
        <v>32</v>
      </c>
      <c r="X60" s="98" t="s">
        <v>32</v>
      </c>
      <c r="Y60" s="98"/>
      <c r="Z60" s="98" t="s">
        <v>33</v>
      </c>
      <c r="AA60" s="100" t="s">
        <v>34</v>
      </c>
      <c r="AB60" s="98" t="s">
        <v>32</v>
      </c>
      <c r="AC60" s="98" t="s">
        <v>32</v>
      </c>
      <c r="AD60" s="98" t="s">
        <v>32</v>
      </c>
      <c r="AE60" s="98" t="s">
        <v>32</v>
      </c>
      <c r="AF60" s="98" t="s">
        <v>35</v>
      </c>
      <c r="AG60" s="101" t="s">
        <v>36</v>
      </c>
      <c r="AH60" s="64"/>
      <c r="AI60" s="97" t="str">
        <f>informatieblad!$A$6</f>
        <v>FL20</v>
      </c>
      <c r="AJ60" s="99"/>
      <c r="AK60" s="97" t="str">
        <f>informatieblad!$A$7</f>
        <v>FL30</v>
      </c>
      <c r="AL60" s="66"/>
      <c r="AM60" s="99" t="str">
        <f>informatieblad!$A$8</f>
        <v>FL40</v>
      </c>
      <c r="AN60" s="66"/>
      <c r="AO60" s="97" t="str">
        <f>informatieblad!$A$5</f>
        <v>none</v>
      </c>
      <c r="AP60" s="264"/>
      <c r="AQ60" s="64"/>
      <c r="AR60" s="266" t="s">
        <v>17</v>
      </c>
      <c r="AS60" s="64"/>
      <c r="AT60" s="64"/>
      <c r="AU60" s="266" t="s">
        <v>37</v>
      </c>
      <c r="AV60" s="64"/>
      <c r="AW60" s="269" t="s">
        <v>38</v>
      </c>
      <c r="AX60" s="272"/>
      <c r="AY60" s="272">
        <f>informatieblad!$B$3</f>
        <v>0</v>
      </c>
      <c r="AZ60" s="272">
        <f>informatieblad!$B$3</f>
        <v>0</v>
      </c>
      <c r="BA60" s="272">
        <f>informatieblad!$B$4</f>
        <v>0</v>
      </c>
      <c r="BB60" s="264">
        <f>informatieblad!$B$4</f>
        <v>0</v>
      </c>
      <c r="BC60" s="83"/>
      <c r="BD60" t="s">
        <v>182</v>
      </c>
    </row>
    <row r="61" spans="1:57" ht="15" customHeight="1">
      <c r="A61" s="467"/>
      <c r="B61" s="102" t="str">
        <f>IF($C62&gt;0,IF(MAX(B60:C60)&lt;informatieblad!$Q$4,informatieblad!$P$3,IF(MAX(B60:C60)&gt;informatieblad!$R$4,informatieblad!$P$5,informatieblad!$P$4)),"")</f>
        <v/>
      </c>
      <c r="C61" s="102" t="str">
        <f>IF($C62&gt;0,IF(MAX(B60:C60)&lt;informatieblad!$Q$4,informatieblad!$P$3,IF(MAX(B60:C60)&gt;informatieblad!$R$4,informatieblad!$P$5,informatieblad!$P$4)),"")</f>
        <v/>
      </c>
      <c r="D61" s="504"/>
      <c r="E61" s="527"/>
      <c r="F61" s="505" t="str">
        <f>A60&amp;"-"&amp;informatieblad!$B$21&amp;"-"&amp;B60&amp;"-"&amp;C60&amp;"-"&amp;D60&amp;"-"&amp;E60&amp;"-"&amp;B61&amp;"-"&amp;C61&amp;"-"&amp;G62</f>
        <v>-RctV-------Options None</v>
      </c>
      <c r="G61" s="528"/>
      <c r="H61" s="528"/>
      <c r="I61" s="529"/>
      <c r="J61" s="83"/>
      <c r="K61" s="64"/>
      <c r="L61" s="64"/>
      <c r="M61" s="103">
        <f t="shared" ref="M61" si="156">A60</f>
        <v>0</v>
      </c>
      <c r="N61" s="104" t="s">
        <v>39</v>
      </c>
      <c r="O61" s="104" t="s">
        <v>39</v>
      </c>
      <c r="P61" s="104" t="s">
        <v>40</v>
      </c>
      <c r="Q61" s="104" t="s">
        <v>40</v>
      </c>
      <c r="R61" s="104" t="s">
        <v>40</v>
      </c>
      <c r="S61" s="105"/>
      <c r="T61" s="106" t="s">
        <v>27</v>
      </c>
      <c r="U61" s="106" t="s">
        <v>40</v>
      </c>
      <c r="V61" s="106" t="s">
        <v>41</v>
      </c>
      <c r="W61" s="104" t="s">
        <v>42</v>
      </c>
      <c r="X61" s="104" t="s">
        <v>43</v>
      </c>
      <c r="Y61" s="104"/>
      <c r="Z61" s="104" t="s">
        <v>44</v>
      </c>
      <c r="AA61" s="107"/>
      <c r="AB61" s="104" t="s">
        <v>45</v>
      </c>
      <c r="AC61" s="104" t="s">
        <v>42</v>
      </c>
      <c r="AD61" s="104" t="s">
        <v>43</v>
      </c>
      <c r="AE61" s="104" t="s">
        <v>46</v>
      </c>
      <c r="AF61" s="108"/>
      <c r="AG61" s="109"/>
      <c r="AH61" s="64"/>
      <c r="AI61" s="262" t="str">
        <f>informatieblad!$A$2</f>
        <v>FL20 loose</v>
      </c>
      <c r="AJ61" s="263"/>
      <c r="AK61" s="262" t="str">
        <f>informatieblad!$A$3</f>
        <v>FL30 loose</v>
      </c>
      <c r="AL61" s="105"/>
      <c r="AM61" s="263" t="str">
        <f>informatieblad!$A$4</f>
        <v>FL40 loose</v>
      </c>
      <c r="AN61" s="105"/>
      <c r="AO61" s="265"/>
      <c r="AP61" s="105"/>
      <c r="AQ61" s="64"/>
      <c r="AR61" s="267"/>
      <c r="AS61" s="64"/>
      <c r="AT61" s="83" t="str">
        <f>'UC mounting materials '!$B$10</f>
        <v>Rail 30x15</v>
      </c>
      <c r="AU61" s="327">
        <f t="shared" ref="AU61" si="157">IF(Z62&lt;1000,(Z62+100),0)*C62</f>
        <v>0</v>
      </c>
      <c r="AV61" s="64"/>
      <c r="AW61" s="265" t="s">
        <v>47</v>
      </c>
      <c r="AX61" s="106" t="s">
        <v>48</v>
      </c>
      <c r="AY61" s="83" t="s">
        <v>23</v>
      </c>
      <c r="AZ61" s="83" t="s">
        <v>23</v>
      </c>
      <c r="BA61" s="83" t="s">
        <v>23</v>
      </c>
      <c r="BB61" s="273" t="s">
        <v>23</v>
      </c>
      <c r="BC61" s="83"/>
      <c r="BD61" t="s">
        <v>40</v>
      </c>
      <c r="BE61" s="83" t="s">
        <v>41</v>
      </c>
    </row>
    <row r="62" spans="1:57" ht="15.75" customHeight="1" thickBot="1">
      <c r="A62" s="468"/>
      <c r="B62" s="371" t="s">
        <v>23</v>
      </c>
      <c r="C62" s="412"/>
      <c r="D62" s="94">
        <f>C62*O62</f>
        <v>0</v>
      </c>
      <c r="E62" s="422" t="s">
        <v>24</v>
      </c>
      <c r="F62" s="93"/>
      <c r="G62" s="451" t="s">
        <v>25</v>
      </c>
      <c r="H62" s="530"/>
      <c r="I62" s="531"/>
      <c r="J62" s="83"/>
      <c r="K62" s="64"/>
      <c r="L62" s="64"/>
      <c r="M62" s="111"/>
      <c r="N62" s="112">
        <f t="shared" ref="N62" si="158">(((2*(B60+C60))*D60)/1000000)+(((B60-10)*(C60-10))/1000000)</f>
        <v>1E-4</v>
      </c>
      <c r="O62" s="112">
        <f>((IF(N62&lt;=informatieblad!$I$12,informatieblad!$I$12,IF(N62&gt;=informatieblad!$I$12,N62))))</f>
        <v>0.5</v>
      </c>
      <c r="P62" s="112">
        <f t="shared" ref="P62" si="159">(((2*B60)+(2*C60))*D60)/1000000+(((B60-10)*(C60-10))/1000000)</f>
        <v>1E-4</v>
      </c>
      <c r="Q62" s="112">
        <f>((IF(P62&lt;=informatieblad!$H$12,informatieblad!$H$12,IF(P62&gt;=informatieblad!$H$12,P62))))</f>
        <v>1E-4</v>
      </c>
      <c r="R62" s="113">
        <f t="shared" ref="R62" si="160">(((Q62*X62)+(Q62*U62))*C62)+BD62</f>
        <v>5</v>
      </c>
      <c r="S62" s="114">
        <f t="shared" ref="S62" si="161">(((O62*W62)+(O62*V62))*C62)+(BE62)</f>
        <v>12</v>
      </c>
      <c r="T62" s="115" t="str">
        <f t="shared" ref="T62" si="162">G62</f>
        <v>Options None</v>
      </c>
      <c r="U62" s="116">
        <f>VLOOKUP(G62,informatieblad!$A$37:$D$41,2,FALSE)</f>
        <v>0</v>
      </c>
      <c r="V62" s="116">
        <f>VLOOKUP(G62,informatieblad!$A$37:$D$41,4,FALSE)</f>
        <v>0</v>
      </c>
      <c r="W62" s="117">
        <f t="shared" ref="W62" si="163">((IF(D60&lt;=900,AC62,IF(D60&gt;=900,AE62))))</f>
        <v>45.1248</v>
      </c>
      <c r="X62" s="118">
        <f t="shared" ref="X62" si="164">((IF(D60&lt;=900,AB62,IF(D60&gt;=900,AD62))))</f>
        <v>0</v>
      </c>
      <c r="Y62" s="119"/>
      <c r="Z62" s="119">
        <f t="shared" ref="Z62" si="165">(MAX(B60:C60))</f>
        <v>0</v>
      </c>
      <c r="AA62" s="119">
        <f>LOOKUP(Z62,informatieblad!$C$27:$C$32,informatieblad!$A$27:$A$32)</f>
        <v>0.5</v>
      </c>
      <c r="AB62" s="118">
        <f>VLOOKUP(AA62,informatieblad!$A$27:$M$32,6,FALSE)</f>
        <v>0</v>
      </c>
      <c r="AC62" s="118">
        <f>VLOOKUP(AA62,informatieblad!$A$27:$M$32,8,FALSE)</f>
        <v>45.1248</v>
      </c>
      <c r="AD62" s="118">
        <f>VLOOKUP(AA62,informatieblad!$A$27:$M$32,9,FALSE)</f>
        <v>0</v>
      </c>
      <c r="AE62" s="118">
        <f>VLOOKUP(AA62,informatieblad!$A$27:$M$32,11,FALSE)</f>
        <v>32.463200000000001</v>
      </c>
      <c r="AF62" s="120">
        <f>VLOOKUP(AA62,informatieblad!$A$27:$M$32,13,FALSE)</f>
        <v>4</v>
      </c>
      <c r="AG62" s="121">
        <f t="shared" ref="AG62" si="166">ROUND((AF62*P62),1)</f>
        <v>0</v>
      </c>
      <c r="AH62" s="64"/>
      <c r="AI62" s="111">
        <f t="shared" ref="AI62" si="167">(IF(B61=AI60,((2*B60)+(2*C60)),IF(B61=AI61,((2*B60)+(2*C60)),0)))*C62</f>
        <v>0</v>
      </c>
      <c r="AJ62" s="261">
        <f t="shared" ref="AJ62" si="168">(IF(C61=AI60,((2*B60)+(2*C60)),IF(C61=AI61,((2*B60)+(2*C60)),0)))*C62</f>
        <v>0</v>
      </c>
      <c r="AK62" s="111">
        <f t="shared" ref="AK62" si="169">(IF(B61=AK60,((2*B60)+(2*C60)),IF(B61=AK61,((2*B60)+(2*C60)),0)))*C62</f>
        <v>0</v>
      </c>
      <c r="AL62" s="260">
        <f t="shared" ref="AL62" si="170">(IF(C61=AK60,((2*B60)+(2*C60)),IF(C61=AK61,((2*B60)+(2*C60)),0)))*C62</f>
        <v>0</v>
      </c>
      <c r="AM62" s="261">
        <f t="shared" ref="AM62" si="171">(IF(B61=AM60,((2*B60)+(2*C60)),IF(B61=AM61,((2*B60)+(2*C60)),0)))*C62</f>
        <v>0</v>
      </c>
      <c r="AN62" s="260">
        <f t="shared" ref="AN62" si="172">(IF(C61=AM60,((2*B60)+(2*C60)),IF(C61=AM61,((2*B60)+(2*C60)),0)))*C62</f>
        <v>0</v>
      </c>
      <c r="AO62" s="111">
        <f t="shared" ref="AO62" si="173">(IF(B61=AO60,((2*B60)+(2*C60)),0))*C62</f>
        <v>0</v>
      </c>
      <c r="AP62" s="260">
        <f t="shared" ref="AP62" si="174">(IF(C61=AO60,((2*B60)+(2*C60)),0))*C62</f>
        <v>0</v>
      </c>
      <c r="AQ62" s="64"/>
      <c r="AR62" s="268">
        <f t="shared" ref="AR62" si="175">D60*C62</f>
        <v>0</v>
      </c>
      <c r="AS62" s="64"/>
      <c r="AT62" s="83" t="str">
        <f>'UC mounting materials '!$B$11</f>
        <v>Rail 41x41</v>
      </c>
      <c r="AU62" s="268">
        <f t="shared" ref="AU62" si="176">IF(Z62&gt;999,(Z62+100),0)*C62</f>
        <v>0</v>
      </c>
      <c r="AV62" s="64"/>
      <c r="AW62" s="111" t="str">
        <f>IF(B61=informatieblad!$A$6,informatieblad!$B$6,IF(B61=informatieblad!$A$7,informatieblad!$B$7,IF(B61=informatieblad!$A$8,informatieblad!$B$8,IF(B61=informatieblad!$A$2,informatieblad!$B$2,IF(B61=informatieblad!$A$3,informatieblad!$B$3,IF(B61=informatieblad!$A$4,informatieblad!$B$4,IF(B61=informatieblad!$A$5,informatieblad!$B$5,"")))))))</f>
        <v/>
      </c>
      <c r="AX62" s="275" t="str">
        <f>IF(C61=informatieblad!$A$6,informatieblad!$B$6,IF(C61=informatieblad!$A$7,informatieblad!$B$7,IF(C61=informatieblad!$A$8,informatieblad!$B$8,IF(C61=informatieblad!$A$2,informatieblad!$B$2,IF(C61=informatieblad!$A$3,informatieblad!$B$3,IF(C61=informatieblad!$A$4,informatieblad!$B$4,IF(C61=informatieblad!$A$5,informatieblad!$B$5,"")))))))</f>
        <v/>
      </c>
      <c r="AY62" s="276">
        <f t="shared" ref="AY62" si="177">IF(AW62=AY60,(4*C62),0)</f>
        <v>0</v>
      </c>
      <c r="AZ62" s="276">
        <f t="shared" ref="AZ62" si="178">IF(AX62=AY60,(4*C62),0)</f>
        <v>0</v>
      </c>
      <c r="BA62" s="276">
        <f t="shared" ref="BA62" si="179">IF(AW62=BA60,(4*C62),0)</f>
        <v>0</v>
      </c>
      <c r="BB62" s="274">
        <f t="shared" ref="BB62" si="180">IF(AX62=BA60,(4*C62),0)</f>
        <v>0</v>
      </c>
      <c r="BC62" s="83"/>
      <c r="BD62" s="374">
        <v>5</v>
      </c>
      <c r="BE62">
        <f t="shared" ref="BE62" si="181">BD62*2.4</f>
        <v>12</v>
      </c>
    </row>
    <row r="63" spans="1:57" ht="15.75" thickBot="1">
      <c r="A63" s="88"/>
      <c r="B63" s="88"/>
      <c r="C63" s="88"/>
      <c r="D63" s="88"/>
      <c r="F63" s="88"/>
      <c r="G63" s="88"/>
      <c r="H63" s="88"/>
      <c r="I63" s="88"/>
      <c r="J63" s="83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83"/>
      <c r="AJ63" s="83"/>
      <c r="AK63" s="83"/>
      <c r="AL63" s="83"/>
      <c r="AM63" s="83"/>
      <c r="AN63" s="83"/>
      <c r="AO63" s="83"/>
      <c r="AP63" s="83"/>
      <c r="AQ63" s="64"/>
      <c r="AR63" s="83"/>
      <c r="AS63" s="64"/>
      <c r="AT63" s="64"/>
      <c r="AU63" s="83"/>
      <c r="AV63" s="64"/>
      <c r="AW63" s="83"/>
      <c r="AX63" s="83"/>
      <c r="AY63" s="83"/>
      <c r="AZ63" s="83"/>
      <c r="BA63" s="83"/>
      <c r="BB63" s="83"/>
      <c r="BC63" s="83"/>
    </row>
    <row r="64" spans="1:57" ht="15.75" customHeight="1" thickBot="1">
      <c r="A64" s="445"/>
      <c r="B64" s="96"/>
      <c r="C64" s="96"/>
      <c r="D64" s="96"/>
      <c r="E64" s="96"/>
      <c r="F64" s="421"/>
      <c r="G64" s="423" t="s">
        <v>181</v>
      </c>
      <c r="H64" s="424">
        <f>ROUND(((B64*C64)/1000000),2)</f>
        <v>0</v>
      </c>
      <c r="I64" s="425" t="s">
        <v>24</v>
      </c>
      <c r="J64" s="366" t="s">
        <v>20</v>
      </c>
      <c r="K64" s="64"/>
      <c r="L64" s="64"/>
      <c r="M64" s="97" t="s">
        <v>26</v>
      </c>
      <c r="N64" s="98" t="s">
        <v>27</v>
      </c>
      <c r="O64" s="98" t="s">
        <v>28</v>
      </c>
      <c r="P64" s="98" t="s">
        <v>27</v>
      </c>
      <c r="Q64" s="98" t="s">
        <v>28</v>
      </c>
      <c r="R64" s="98" t="s">
        <v>29</v>
      </c>
      <c r="S64" s="66" t="s">
        <v>30</v>
      </c>
      <c r="T64" s="99" t="s">
        <v>31</v>
      </c>
      <c r="U64" s="99"/>
      <c r="V64" s="99"/>
      <c r="W64" s="98" t="s">
        <v>32</v>
      </c>
      <c r="X64" s="98" t="s">
        <v>32</v>
      </c>
      <c r="Y64" s="98"/>
      <c r="Z64" s="98" t="s">
        <v>33</v>
      </c>
      <c r="AA64" s="100" t="s">
        <v>34</v>
      </c>
      <c r="AB64" s="98" t="s">
        <v>32</v>
      </c>
      <c r="AC64" s="98" t="s">
        <v>32</v>
      </c>
      <c r="AD64" s="98" t="s">
        <v>32</v>
      </c>
      <c r="AE64" s="98" t="s">
        <v>32</v>
      </c>
      <c r="AF64" s="98" t="s">
        <v>35</v>
      </c>
      <c r="AG64" s="101" t="s">
        <v>36</v>
      </c>
      <c r="AH64" s="64"/>
      <c r="AI64" s="97" t="str">
        <f>informatieblad!$A$6</f>
        <v>FL20</v>
      </c>
      <c r="AJ64" s="99"/>
      <c r="AK64" s="97" t="str">
        <f>informatieblad!$A$7</f>
        <v>FL30</v>
      </c>
      <c r="AL64" s="66"/>
      <c r="AM64" s="99" t="str">
        <f>informatieblad!$A$8</f>
        <v>FL40</v>
      </c>
      <c r="AN64" s="66"/>
      <c r="AO64" s="97" t="str">
        <f>informatieblad!$A$5</f>
        <v>none</v>
      </c>
      <c r="AP64" s="264"/>
      <c r="AQ64" s="64"/>
      <c r="AR64" s="266" t="s">
        <v>17</v>
      </c>
      <c r="AS64" s="64"/>
      <c r="AT64" s="64"/>
      <c r="AU64" s="266" t="s">
        <v>37</v>
      </c>
      <c r="AV64" s="64"/>
      <c r="AW64" s="269" t="s">
        <v>38</v>
      </c>
      <c r="AX64" s="272"/>
      <c r="AY64" s="272">
        <f>informatieblad!$B$3</f>
        <v>0</v>
      </c>
      <c r="AZ64" s="272">
        <f>informatieblad!$B$3</f>
        <v>0</v>
      </c>
      <c r="BA64" s="272">
        <f>informatieblad!$B$4</f>
        <v>0</v>
      </c>
      <c r="BB64" s="264">
        <f>informatieblad!$B$4</f>
        <v>0</v>
      </c>
      <c r="BC64" s="83"/>
      <c r="BD64" t="s">
        <v>182</v>
      </c>
    </row>
    <row r="65" spans="1:57" ht="15" customHeight="1">
      <c r="A65" s="467"/>
      <c r="B65" s="102" t="str">
        <f>IF($C66&gt;0,IF(MAX(B64:C64)&lt;informatieblad!$Q$4,informatieblad!$P$3,IF(MAX(B64:C64)&gt;informatieblad!$R$4,informatieblad!$P$5,informatieblad!$P$4)),"")</f>
        <v/>
      </c>
      <c r="C65" s="102" t="str">
        <f>IF($C66&gt;0,IF(MAX(B64:C64)&lt;informatieblad!$Q$4,informatieblad!$P$3,IF(MAX(B64:C64)&gt;informatieblad!$R$4,informatieblad!$P$5,informatieblad!$P$4)),"")</f>
        <v/>
      </c>
      <c r="D65" s="504"/>
      <c r="E65" s="527"/>
      <c r="F65" s="505" t="str">
        <f>A64&amp;"-"&amp;informatieblad!$B$21&amp;"-"&amp;B64&amp;"-"&amp;C64&amp;"-"&amp;D64&amp;"-"&amp;E64&amp;"-"&amp;B65&amp;"-"&amp;C65&amp;"-"&amp;G66</f>
        <v>-RctV-------Options None</v>
      </c>
      <c r="G65" s="528"/>
      <c r="H65" s="528"/>
      <c r="I65" s="529"/>
      <c r="J65" s="83"/>
      <c r="K65" s="64"/>
      <c r="L65" s="64"/>
      <c r="M65" s="103">
        <f t="shared" ref="M65" si="182">A64</f>
        <v>0</v>
      </c>
      <c r="N65" s="104" t="s">
        <v>39</v>
      </c>
      <c r="O65" s="104" t="s">
        <v>39</v>
      </c>
      <c r="P65" s="104" t="s">
        <v>40</v>
      </c>
      <c r="Q65" s="104" t="s">
        <v>40</v>
      </c>
      <c r="R65" s="104" t="s">
        <v>40</v>
      </c>
      <c r="S65" s="105"/>
      <c r="T65" s="106" t="s">
        <v>27</v>
      </c>
      <c r="U65" s="106" t="s">
        <v>40</v>
      </c>
      <c r="V65" s="106" t="s">
        <v>41</v>
      </c>
      <c r="W65" s="104" t="s">
        <v>42</v>
      </c>
      <c r="X65" s="104" t="s">
        <v>43</v>
      </c>
      <c r="Y65" s="104"/>
      <c r="Z65" s="104" t="s">
        <v>44</v>
      </c>
      <c r="AA65" s="107"/>
      <c r="AB65" s="104" t="s">
        <v>45</v>
      </c>
      <c r="AC65" s="104" t="s">
        <v>42</v>
      </c>
      <c r="AD65" s="104" t="s">
        <v>43</v>
      </c>
      <c r="AE65" s="104" t="s">
        <v>46</v>
      </c>
      <c r="AF65" s="108"/>
      <c r="AG65" s="109"/>
      <c r="AH65" s="64"/>
      <c r="AI65" s="262" t="str">
        <f>informatieblad!$A$2</f>
        <v>FL20 loose</v>
      </c>
      <c r="AJ65" s="263"/>
      <c r="AK65" s="262" t="str">
        <f>informatieblad!$A$3</f>
        <v>FL30 loose</v>
      </c>
      <c r="AL65" s="105"/>
      <c r="AM65" s="263" t="str">
        <f>informatieblad!$A$4</f>
        <v>FL40 loose</v>
      </c>
      <c r="AN65" s="105"/>
      <c r="AO65" s="265"/>
      <c r="AP65" s="105"/>
      <c r="AQ65" s="64"/>
      <c r="AR65" s="267"/>
      <c r="AS65" s="64"/>
      <c r="AT65" s="83" t="str">
        <f>'UC mounting materials '!$B$10</f>
        <v>Rail 30x15</v>
      </c>
      <c r="AU65" s="327">
        <f t="shared" ref="AU65" si="183">IF(Z66&lt;1000,(Z66+100),0)*C66</f>
        <v>0</v>
      </c>
      <c r="AV65" s="64"/>
      <c r="AW65" s="265" t="s">
        <v>47</v>
      </c>
      <c r="AX65" s="106" t="s">
        <v>48</v>
      </c>
      <c r="AY65" s="83" t="s">
        <v>23</v>
      </c>
      <c r="AZ65" s="83" t="s">
        <v>23</v>
      </c>
      <c r="BA65" s="83" t="s">
        <v>23</v>
      </c>
      <c r="BB65" s="273" t="s">
        <v>23</v>
      </c>
      <c r="BC65" s="83"/>
      <c r="BD65" t="s">
        <v>40</v>
      </c>
      <c r="BE65" s="83" t="s">
        <v>41</v>
      </c>
    </row>
    <row r="66" spans="1:57" ht="15.75" customHeight="1" thickBot="1">
      <c r="A66" s="468"/>
      <c r="B66" s="371" t="s">
        <v>23</v>
      </c>
      <c r="C66" s="412"/>
      <c r="D66" s="94">
        <f>C66*O66</f>
        <v>0</v>
      </c>
      <c r="E66" s="422" t="s">
        <v>24</v>
      </c>
      <c r="F66" s="93"/>
      <c r="G66" s="451" t="s">
        <v>25</v>
      </c>
      <c r="H66" s="530"/>
      <c r="I66" s="531"/>
      <c r="J66" s="83"/>
      <c r="K66" s="64"/>
      <c r="L66" s="64"/>
      <c r="M66" s="111"/>
      <c r="N66" s="112">
        <f t="shared" ref="N66" si="184">(((2*(B64+C64))*D64)/1000000)+(((B64-10)*(C64-10))/1000000)</f>
        <v>1E-4</v>
      </c>
      <c r="O66" s="112">
        <f>((IF(N66&lt;=informatieblad!$I$12,informatieblad!$I$12,IF(N66&gt;=informatieblad!$I$12,N66))))</f>
        <v>0.5</v>
      </c>
      <c r="P66" s="112">
        <f t="shared" ref="P66" si="185">(((2*B64)+(2*C64))*D64)/1000000+(((B64-10)*(C64-10))/1000000)</f>
        <v>1E-4</v>
      </c>
      <c r="Q66" s="112">
        <f>((IF(P66&lt;=informatieblad!$H$12,informatieblad!$H$12,IF(P66&gt;=informatieblad!$H$12,P66))))</f>
        <v>1E-4</v>
      </c>
      <c r="R66" s="113">
        <f t="shared" ref="R66" si="186">(((Q66*X66)+(Q66*U66))*C66)+BD66</f>
        <v>5</v>
      </c>
      <c r="S66" s="114">
        <f t="shared" ref="S66" si="187">(((O66*W66)+(O66*V66))*C66)+(BE66)</f>
        <v>12</v>
      </c>
      <c r="T66" s="115" t="str">
        <f t="shared" ref="T66" si="188">G66</f>
        <v>Options None</v>
      </c>
      <c r="U66" s="116">
        <f>VLOOKUP(G66,informatieblad!$A$37:$D$41,2,FALSE)</f>
        <v>0</v>
      </c>
      <c r="V66" s="116">
        <f>VLOOKUP(G66,informatieblad!$A$37:$D$41,4,FALSE)</f>
        <v>0</v>
      </c>
      <c r="W66" s="117">
        <f t="shared" ref="W66" si="189">((IF(D64&lt;=900,AC66,IF(D64&gt;=900,AE66))))</f>
        <v>45.1248</v>
      </c>
      <c r="X66" s="118">
        <f t="shared" ref="X66" si="190">((IF(D64&lt;=900,AB66,IF(D64&gt;=900,AD66))))</f>
        <v>0</v>
      </c>
      <c r="Y66" s="119"/>
      <c r="Z66" s="119">
        <f t="shared" ref="Z66" si="191">(MAX(B64:C64))</f>
        <v>0</v>
      </c>
      <c r="AA66" s="119">
        <f>LOOKUP(Z66,informatieblad!$C$27:$C$32,informatieblad!$A$27:$A$32)</f>
        <v>0.5</v>
      </c>
      <c r="AB66" s="118">
        <f>VLOOKUP(AA66,informatieblad!$A$27:$M$32,6,FALSE)</f>
        <v>0</v>
      </c>
      <c r="AC66" s="118">
        <f>VLOOKUP(AA66,informatieblad!$A$27:$M$32,8,FALSE)</f>
        <v>45.1248</v>
      </c>
      <c r="AD66" s="118">
        <f>VLOOKUP(AA66,informatieblad!$A$27:$M$32,9,FALSE)</f>
        <v>0</v>
      </c>
      <c r="AE66" s="118">
        <f>VLOOKUP(AA66,informatieblad!$A$27:$M$32,11,FALSE)</f>
        <v>32.463200000000001</v>
      </c>
      <c r="AF66" s="120">
        <f>VLOOKUP(AA66,informatieblad!$A$27:$M$32,13,FALSE)</f>
        <v>4</v>
      </c>
      <c r="AG66" s="121">
        <f t="shared" ref="AG66" si="192">ROUND((AF66*P66),1)</f>
        <v>0</v>
      </c>
      <c r="AH66" s="64"/>
      <c r="AI66" s="111">
        <f t="shared" ref="AI66" si="193">(IF(B65=AI64,((2*B64)+(2*C64)),IF(B65=AI65,((2*B64)+(2*C64)),0)))*C66</f>
        <v>0</v>
      </c>
      <c r="AJ66" s="261">
        <f t="shared" ref="AJ66" si="194">(IF(C65=AI64,((2*B64)+(2*C64)),IF(C65=AI65,((2*B64)+(2*C64)),0)))*C66</f>
        <v>0</v>
      </c>
      <c r="AK66" s="111">
        <f t="shared" ref="AK66" si="195">(IF(B65=AK64,((2*B64)+(2*C64)),IF(B65=AK65,((2*B64)+(2*C64)),0)))*C66</f>
        <v>0</v>
      </c>
      <c r="AL66" s="260">
        <f t="shared" ref="AL66" si="196">(IF(C65=AK64,((2*B64)+(2*C64)),IF(C65=AK65,((2*B64)+(2*C64)),0)))*C66</f>
        <v>0</v>
      </c>
      <c r="AM66" s="261">
        <f t="shared" ref="AM66" si="197">(IF(B65=AM64,((2*B64)+(2*C64)),IF(B65=AM65,((2*B64)+(2*C64)),0)))*C66</f>
        <v>0</v>
      </c>
      <c r="AN66" s="260">
        <f t="shared" ref="AN66" si="198">(IF(C65=AM64,((2*B64)+(2*C64)),IF(C65=AM65,((2*B64)+(2*C64)),0)))*C66</f>
        <v>0</v>
      </c>
      <c r="AO66" s="111">
        <f t="shared" ref="AO66" si="199">(IF(B65=AO64,((2*B64)+(2*C64)),0))*C66</f>
        <v>0</v>
      </c>
      <c r="AP66" s="260">
        <f t="shared" ref="AP66" si="200">(IF(C65=AO64,((2*B64)+(2*C64)),0))*C66</f>
        <v>0</v>
      </c>
      <c r="AQ66" s="64"/>
      <c r="AR66" s="268">
        <f t="shared" ref="AR66" si="201">D64*C66</f>
        <v>0</v>
      </c>
      <c r="AS66" s="64"/>
      <c r="AT66" s="83" t="str">
        <f>'UC mounting materials '!$B$11</f>
        <v>Rail 41x41</v>
      </c>
      <c r="AU66" s="268">
        <f t="shared" ref="AU66" si="202">IF(Z66&gt;999,(Z66+100),0)*C66</f>
        <v>0</v>
      </c>
      <c r="AV66" s="64"/>
      <c r="AW66" s="111" t="str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/>
      </c>
      <c r="AX66" s="275" t="str">
        <f>IF(C65=informatieblad!$A$6,informatieblad!$B$6,IF(C65=informatieblad!$A$7,informatieblad!$B$7,IF(C65=informatieblad!$A$8,informatieblad!$B$8,IF(C65=informatieblad!$A$2,informatieblad!$B$2,IF(C65=informatieblad!$A$3,informatieblad!$B$3,IF(C65=informatieblad!$A$4,informatieblad!$B$4,IF(C65=informatieblad!$A$5,informatieblad!$B$5,"")))))))</f>
        <v/>
      </c>
      <c r="AY66" s="276">
        <f t="shared" ref="AY66" si="203">IF(AW66=AY64,(4*C66),0)</f>
        <v>0</v>
      </c>
      <c r="AZ66" s="276">
        <f t="shared" ref="AZ66" si="204">IF(AX66=AY64,(4*C66),0)</f>
        <v>0</v>
      </c>
      <c r="BA66" s="276">
        <f t="shared" ref="BA66" si="205">IF(AW66=BA64,(4*C66),0)</f>
        <v>0</v>
      </c>
      <c r="BB66" s="274">
        <f t="shared" ref="BB66" si="206">IF(AX66=BA64,(4*C66),0)</f>
        <v>0</v>
      </c>
      <c r="BC66" s="83"/>
      <c r="BD66" s="374">
        <v>5</v>
      </c>
      <c r="BE66">
        <f t="shared" ref="BE66" si="207">BD66*2.4</f>
        <v>12</v>
      </c>
    </row>
    <row r="67" spans="1:57" ht="15.75" thickBot="1">
      <c r="A67" s="88"/>
      <c r="B67" s="88"/>
      <c r="C67" s="88"/>
      <c r="D67" s="88"/>
      <c r="F67" s="88"/>
      <c r="G67" s="88"/>
      <c r="H67" s="88"/>
      <c r="I67" s="88"/>
      <c r="J67" s="83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83"/>
      <c r="AJ67" s="83"/>
      <c r="AK67" s="83"/>
      <c r="AL67" s="83"/>
      <c r="AM67" s="83"/>
      <c r="AN67" s="83"/>
      <c r="AO67" s="83"/>
      <c r="AP67" s="83"/>
      <c r="AQ67" s="64"/>
      <c r="AR67" s="83"/>
      <c r="AS67" s="64"/>
      <c r="AT67" s="64"/>
      <c r="AU67" s="83"/>
      <c r="AV67" s="64"/>
      <c r="AW67" s="83"/>
      <c r="AX67" s="83"/>
      <c r="AY67" s="83"/>
      <c r="AZ67" s="83"/>
      <c r="BA67" s="83"/>
      <c r="BB67" s="83"/>
      <c r="BC67" s="83"/>
    </row>
    <row r="68" spans="1:57" ht="15.75" customHeight="1" thickBot="1">
      <c r="A68" s="445"/>
      <c r="B68" s="96"/>
      <c r="C68" s="96"/>
      <c r="D68" s="96"/>
      <c r="E68" s="96"/>
      <c r="F68" s="421"/>
      <c r="G68" s="423" t="s">
        <v>181</v>
      </c>
      <c r="H68" s="424">
        <f>ROUND(((B68*C68)/1000000),2)</f>
        <v>0</v>
      </c>
      <c r="I68" s="425" t="s">
        <v>24</v>
      </c>
      <c r="J68" s="366" t="s">
        <v>20</v>
      </c>
      <c r="K68" s="64"/>
      <c r="L68" s="64"/>
      <c r="M68" s="97" t="s">
        <v>26</v>
      </c>
      <c r="N68" s="98" t="s">
        <v>27</v>
      </c>
      <c r="O68" s="98" t="s">
        <v>28</v>
      </c>
      <c r="P68" s="98" t="s">
        <v>27</v>
      </c>
      <c r="Q68" s="98" t="s">
        <v>28</v>
      </c>
      <c r="R68" s="98" t="s">
        <v>29</v>
      </c>
      <c r="S68" s="66" t="s">
        <v>30</v>
      </c>
      <c r="T68" s="99" t="s">
        <v>31</v>
      </c>
      <c r="U68" s="99"/>
      <c r="V68" s="99"/>
      <c r="W68" s="98" t="s">
        <v>32</v>
      </c>
      <c r="X68" s="98" t="s">
        <v>32</v>
      </c>
      <c r="Y68" s="98"/>
      <c r="Z68" s="98" t="s">
        <v>33</v>
      </c>
      <c r="AA68" s="100" t="s">
        <v>34</v>
      </c>
      <c r="AB68" s="98" t="s">
        <v>32</v>
      </c>
      <c r="AC68" s="98" t="s">
        <v>32</v>
      </c>
      <c r="AD68" s="98" t="s">
        <v>32</v>
      </c>
      <c r="AE68" s="98" t="s">
        <v>32</v>
      </c>
      <c r="AF68" s="98" t="s">
        <v>35</v>
      </c>
      <c r="AG68" s="101" t="s">
        <v>36</v>
      </c>
      <c r="AH68" s="64"/>
      <c r="AI68" s="97" t="str">
        <f>informatieblad!$A$6</f>
        <v>FL20</v>
      </c>
      <c r="AJ68" s="99"/>
      <c r="AK68" s="97" t="str">
        <f>informatieblad!$A$7</f>
        <v>FL30</v>
      </c>
      <c r="AL68" s="66"/>
      <c r="AM68" s="99" t="str">
        <f>informatieblad!$A$8</f>
        <v>FL40</v>
      </c>
      <c r="AN68" s="66"/>
      <c r="AO68" s="97" t="str">
        <f>informatieblad!$A$5</f>
        <v>none</v>
      </c>
      <c r="AP68" s="264"/>
      <c r="AQ68" s="64"/>
      <c r="AR68" s="266" t="s">
        <v>17</v>
      </c>
      <c r="AS68" s="64"/>
      <c r="AT68" s="64"/>
      <c r="AU68" s="266" t="s">
        <v>37</v>
      </c>
      <c r="AV68" s="64"/>
      <c r="AW68" s="269" t="s">
        <v>38</v>
      </c>
      <c r="AX68" s="272"/>
      <c r="AY68" s="272">
        <f>informatieblad!$B$3</f>
        <v>0</v>
      </c>
      <c r="AZ68" s="272">
        <f>informatieblad!$B$3</f>
        <v>0</v>
      </c>
      <c r="BA68" s="272">
        <f>informatieblad!$B$4</f>
        <v>0</v>
      </c>
      <c r="BB68" s="264">
        <f>informatieblad!$B$4</f>
        <v>0</v>
      </c>
      <c r="BC68" s="83"/>
      <c r="BD68" t="s">
        <v>182</v>
      </c>
    </row>
    <row r="69" spans="1:57" ht="15" customHeight="1">
      <c r="A69" s="467"/>
      <c r="B69" s="102" t="str">
        <f>IF($C70&gt;0,IF(MAX(B68:C68)&lt;informatieblad!$Q$4,informatieblad!$P$3,IF(MAX(B68:C68)&gt;informatieblad!$R$4,informatieblad!$P$5,informatieblad!$P$4)),"")</f>
        <v/>
      </c>
      <c r="C69" s="102" t="str">
        <f>IF($C70&gt;0,IF(MAX(B68:C68)&lt;informatieblad!$Q$4,informatieblad!$P$3,IF(MAX(B68:C68)&gt;informatieblad!$R$4,informatieblad!$P$5,informatieblad!$P$4)),"")</f>
        <v/>
      </c>
      <c r="D69" s="504"/>
      <c r="E69" s="527"/>
      <c r="F69" s="505" t="str">
        <f>A68&amp;"-"&amp;informatieblad!$B$21&amp;"-"&amp;B68&amp;"-"&amp;C68&amp;"-"&amp;D68&amp;"-"&amp;E68&amp;"-"&amp;B69&amp;"-"&amp;C69&amp;"-"&amp;G70</f>
        <v>-RctV-------Options None</v>
      </c>
      <c r="G69" s="528"/>
      <c r="H69" s="528"/>
      <c r="I69" s="529"/>
      <c r="J69" s="83"/>
      <c r="K69" s="64"/>
      <c r="L69" s="64"/>
      <c r="M69" s="103">
        <f>A68</f>
        <v>0</v>
      </c>
      <c r="N69" s="104" t="s">
        <v>39</v>
      </c>
      <c r="O69" s="104" t="s">
        <v>39</v>
      </c>
      <c r="P69" s="104" t="s">
        <v>40</v>
      </c>
      <c r="Q69" s="104" t="s">
        <v>40</v>
      </c>
      <c r="R69" s="104" t="s">
        <v>40</v>
      </c>
      <c r="S69" s="105"/>
      <c r="T69" s="106" t="s">
        <v>27</v>
      </c>
      <c r="U69" s="106" t="s">
        <v>40</v>
      </c>
      <c r="V69" s="106" t="s">
        <v>41</v>
      </c>
      <c r="W69" s="104" t="s">
        <v>42</v>
      </c>
      <c r="X69" s="104" t="s">
        <v>43</v>
      </c>
      <c r="Y69" s="104"/>
      <c r="Z69" s="104" t="s">
        <v>44</v>
      </c>
      <c r="AA69" s="107"/>
      <c r="AB69" s="104" t="s">
        <v>45</v>
      </c>
      <c r="AC69" s="104" t="s">
        <v>42</v>
      </c>
      <c r="AD69" s="104" t="s">
        <v>43</v>
      </c>
      <c r="AE69" s="104" t="s">
        <v>46</v>
      </c>
      <c r="AF69" s="108"/>
      <c r="AG69" s="109"/>
      <c r="AH69" s="64"/>
      <c r="AI69" s="262" t="str">
        <f>informatieblad!$A$2</f>
        <v>FL20 loose</v>
      </c>
      <c r="AJ69" s="263"/>
      <c r="AK69" s="262" t="str">
        <f>informatieblad!$A$3</f>
        <v>FL30 loose</v>
      </c>
      <c r="AL69" s="105"/>
      <c r="AM69" s="263" t="str">
        <f>informatieblad!$A$4</f>
        <v>FL40 loose</v>
      </c>
      <c r="AN69" s="105"/>
      <c r="AO69" s="265"/>
      <c r="AP69" s="105"/>
      <c r="AQ69" s="64"/>
      <c r="AR69" s="267"/>
      <c r="AS69" s="64"/>
      <c r="AT69" s="83" t="str">
        <f>'UC mounting materials '!$B$10</f>
        <v>Rail 30x15</v>
      </c>
      <c r="AU69" s="327">
        <f>IF(Z70&lt;1000,(Z70+100),0)*C70</f>
        <v>0</v>
      </c>
      <c r="AV69" s="64"/>
      <c r="AW69" s="265" t="s">
        <v>47</v>
      </c>
      <c r="AX69" s="106" t="s">
        <v>48</v>
      </c>
      <c r="AY69" s="83" t="s">
        <v>23</v>
      </c>
      <c r="AZ69" s="83" t="s">
        <v>23</v>
      </c>
      <c r="BA69" s="83" t="s">
        <v>23</v>
      </c>
      <c r="BB69" s="273" t="s">
        <v>23</v>
      </c>
      <c r="BC69" s="83"/>
      <c r="BD69" t="s">
        <v>40</v>
      </c>
      <c r="BE69" s="83" t="s">
        <v>41</v>
      </c>
    </row>
    <row r="70" spans="1:57" ht="15.75" customHeight="1" thickBot="1">
      <c r="A70" s="468"/>
      <c r="B70" s="371" t="s">
        <v>23</v>
      </c>
      <c r="C70" s="412"/>
      <c r="D70" s="94">
        <f>C70*O70</f>
        <v>0</v>
      </c>
      <c r="E70" s="422" t="s">
        <v>24</v>
      </c>
      <c r="F70" s="93"/>
      <c r="G70" s="451" t="s">
        <v>25</v>
      </c>
      <c r="H70" s="530"/>
      <c r="I70" s="531"/>
      <c r="J70" s="83"/>
      <c r="K70" s="64"/>
      <c r="L70" s="64"/>
      <c r="M70" s="111"/>
      <c r="N70" s="112">
        <f>(((2*(B68+C68))*D68)/1000000)+(((B68-10)*(C68-10))/1000000)</f>
        <v>1E-4</v>
      </c>
      <c r="O70" s="112">
        <f>((IF(N70&lt;=informatieblad!$I$12,informatieblad!$I$12,IF(N70&gt;=informatieblad!$I$12,N70))))</f>
        <v>0.5</v>
      </c>
      <c r="P70" s="112">
        <f>(((2*B68)+(2*C68))*D68)/1000000+(((B68-10)*(C68-10))/1000000)</f>
        <v>1E-4</v>
      </c>
      <c r="Q70" s="112">
        <f>((IF(P70&lt;=informatieblad!$H$12,informatieblad!$H$12,IF(P70&gt;=informatieblad!$H$12,P70))))</f>
        <v>1E-4</v>
      </c>
      <c r="R70" s="113">
        <f>(((Q70*X70)+(Q70*U70))*C70)+BD70</f>
        <v>5</v>
      </c>
      <c r="S70" s="114">
        <f>(((O70*W70)+(O70*V70))*C70)+(BE70)</f>
        <v>12</v>
      </c>
      <c r="T70" s="115" t="str">
        <f>G70</f>
        <v>Options None</v>
      </c>
      <c r="U70" s="116">
        <f>VLOOKUP(G70,informatieblad!$A$37:$D$41,2,FALSE)</f>
        <v>0</v>
      </c>
      <c r="V70" s="116">
        <f>VLOOKUP(G70,informatieblad!$A$37:$D$41,4,FALSE)</f>
        <v>0</v>
      </c>
      <c r="W70" s="117">
        <f>((IF(D68&lt;=900,AC70,IF(D68&gt;=900,AE70))))</f>
        <v>45.1248</v>
      </c>
      <c r="X70" s="118">
        <f>((IF(D68&lt;=900,AB70,IF(D68&gt;=900,AD70))))</f>
        <v>0</v>
      </c>
      <c r="Y70" s="119"/>
      <c r="Z70" s="119">
        <f>(MAX(B68:C68))</f>
        <v>0</v>
      </c>
      <c r="AA70" s="119">
        <f>LOOKUP(Z70,informatieblad!$C$27:$C$32,informatieblad!$A$27:$A$32)</f>
        <v>0.5</v>
      </c>
      <c r="AB70" s="118">
        <f>VLOOKUP(AA70,informatieblad!$A$27:$M$32,6,FALSE)</f>
        <v>0</v>
      </c>
      <c r="AC70" s="118">
        <f>VLOOKUP(AA70,informatieblad!$A$27:$M$32,8,FALSE)</f>
        <v>45.1248</v>
      </c>
      <c r="AD70" s="118">
        <f>VLOOKUP(AA70,informatieblad!$A$27:$M$32,9,FALSE)</f>
        <v>0</v>
      </c>
      <c r="AE70" s="118">
        <f>VLOOKUP(AA70,informatieblad!$A$27:$M$32,11,FALSE)</f>
        <v>32.463200000000001</v>
      </c>
      <c r="AF70" s="120">
        <f>VLOOKUP(AA70,informatieblad!$A$27:$M$32,13,FALSE)</f>
        <v>4</v>
      </c>
      <c r="AG70" s="121">
        <f>ROUND((AF70*P70),1)</f>
        <v>0</v>
      </c>
      <c r="AH70" s="64"/>
      <c r="AI70" s="111">
        <f>(IF(B69=AI68,((2*B68)+(2*C68)),IF(B69=AI69,((2*B68)+(2*C68)),0)))*C70</f>
        <v>0</v>
      </c>
      <c r="AJ70" s="261">
        <f>(IF(C69=AI68,((2*B68)+(2*C68)),IF(C69=AI69,((2*B68)+(2*C68)),0)))*C70</f>
        <v>0</v>
      </c>
      <c r="AK70" s="111">
        <f>(IF(B69=AK68,((2*B68)+(2*C68)),IF(B69=AK69,((2*B68)+(2*C68)),0)))*C70</f>
        <v>0</v>
      </c>
      <c r="AL70" s="260">
        <f>(IF(C69=AK68,((2*B68)+(2*C68)),IF(C69=AK69,((2*B68)+(2*C68)),0)))*C70</f>
        <v>0</v>
      </c>
      <c r="AM70" s="261">
        <f>(IF(B69=AM68,((2*B68)+(2*C68)),IF(B69=AM69,((2*B68)+(2*C68)),0)))*C70</f>
        <v>0</v>
      </c>
      <c r="AN70" s="260">
        <f>(IF(C69=AM68,((2*B68)+(2*C68)),IF(C69=AM69,((2*B68)+(2*C68)),0)))*C70</f>
        <v>0</v>
      </c>
      <c r="AO70" s="111">
        <f>(IF(B69=AO68,((2*B68)+(2*C68)),0))*C70</f>
        <v>0</v>
      </c>
      <c r="AP70" s="260">
        <f>(IF(C69=AO68,((2*B68)+(2*C68)),0))*C70</f>
        <v>0</v>
      </c>
      <c r="AQ70" s="64"/>
      <c r="AR70" s="268">
        <f>D68*C70</f>
        <v>0</v>
      </c>
      <c r="AS70" s="64"/>
      <c r="AT70" s="83" t="str">
        <f>'UC mounting materials '!$B$11</f>
        <v>Rail 41x41</v>
      </c>
      <c r="AU70" s="268">
        <f>IF(Z70&gt;999,(Z70+100),0)*C70</f>
        <v>0</v>
      </c>
      <c r="AV70" s="64"/>
      <c r="AW70" s="111" t="str">
        <f>IF(B69=informatieblad!$A$6,informatieblad!$B$6,IF(B69=informatieblad!$A$7,informatieblad!$B$7,IF(B69=informatieblad!$A$8,informatieblad!$B$8,IF(B69=informatieblad!$A$2,informatieblad!$B$2,IF(B69=informatieblad!$A$3,informatieblad!$B$3,IF(B69=informatieblad!$A$4,informatieblad!$B$4,IF(B69=informatieblad!$A$5,informatieblad!$B$5,"")))))))</f>
        <v/>
      </c>
      <c r="AX70" s="275" t="str">
        <f>IF(C69=informatieblad!$A$6,informatieblad!$B$6,IF(C69=informatieblad!$A$7,informatieblad!$B$7,IF(C69=informatieblad!$A$8,informatieblad!$B$8,IF(C69=informatieblad!$A$2,informatieblad!$B$2,IF(C69=informatieblad!$A$3,informatieblad!$B$3,IF(C69=informatieblad!$A$4,informatieblad!$B$4,IF(C69=informatieblad!$A$5,informatieblad!$B$5,"")))))))</f>
        <v/>
      </c>
      <c r="AY70" s="276">
        <f>IF(AW70=AY68,(4*C70),0)</f>
        <v>0</v>
      </c>
      <c r="AZ70" s="276">
        <f>IF(AX70=AY68,(4*C70),0)</f>
        <v>0</v>
      </c>
      <c r="BA70" s="276">
        <f>IF(AW70=BA68,(4*C70),0)</f>
        <v>0</v>
      </c>
      <c r="BB70" s="274">
        <f>IF(AX70=BA68,(4*C70),0)</f>
        <v>0</v>
      </c>
      <c r="BC70" s="83"/>
      <c r="BD70" s="374">
        <v>5</v>
      </c>
      <c r="BE70">
        <f>BD70*2.4</f>
        <v>12</v>
      </c>
    </row>
    <row r="71" spans="1:57" ht="15.75" thickBot="1">
      <c r="A71" s="88"/>
      <c r="B71" s="88"/>
      <c r="C71" s="88"/>
      <c r="D71" s="88"/>
      <c r="F71" s="88"/>
      <c r="G71" s="88"/>
      <c r="H71" s="88"/>
      <c r="I71" s="88"/>
      <c r="J71" s="83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83"/>
      <c r="AJ71" s="83"/>
      <c r="AK71" s="83"/>
      <c r="AL71" s="83"/>
      <c r="AM71" s="83"/>
      <c r="AN71" s="83"/>
      <c r="AO71" s="83"/>
      <c r="AP71" s="83"/>
      <c r="AQ71" s="64"/>
      <c r="AR71" s="83"/>
      <c r="AS71" s="64"/>
      <c r="AT71" s="64"/>
      <c r="AU71" s="83"/>
      <c r="AV71" s="64"/>
      <c r="AW71" s="83"/>
      <c r="AX71" s="83"/>
      <c r="AY71" s="83"/>
      <c r="AZ71" s="83"/>
      <c r="BA71" s="83"/>
      <c r="BB71" s="83"/>
      <c r="BC71" s="83"/>
    </row>
    <row r="72" spans="1:57" ht="15.75" customHeight="1" thickBot="1">
      <c r="A72" s="445"/>
      <c r="B72" s="96"/>
      <c r="C72" s="96"/>
      <c r="D72" s="96"/>
      <c r="E72" s="96"/>
      <c r="F72" s="421"/>
      <c r="G72" s="423" t="s">
        <v>181</v>
      </c>
      <c r="H72" s="424">
        <f>ROUND(((B72*C72)/1000000),2)</f>
        <v>0</v>
      </c>
      <c r="I72" s="425" t="s">
        <v>24</v>
      </c>
      <c r="J72" s="366" t="s">
        <v>20</v>
      </c>
      <c r="K72" s="64"/>
      <c r="L72" s="64"/>
      <c r="M72" s="97" t="s">
        <v>26</v>
      </c>
      <c r="N72" s="98" t="s">
        <v>27</v>
      </c>
      <c r="O72" s="98" t="s">
        <v>28</v>
      </c>
      <c r="P72" s="98" t="s">
        <v>27</v>
      </c>
      <c r="Q72" s="98" t="s">
        <v>28</v>
      </c>
      <c r="R72" s="98" t="s">
        <v>29</v>
      </c>
      <c r="S72" s="66" t="s">
        <v>30</v>
      </c>
      <c r="T72" s="99" t="s">
        <v>31</v>
      </c>
      <c r="U72" s="99"/>
      <c r="V72" s="99"/>
      <c r="W72" s="98" t="s">
        <v>32</v>
      </c>
      <c r="X72" s="98" t="s">
        <v>32</v>
      </c>
      <c r="Y72" s="98"/>
      <c r="Z72" s="98" t="s">
        <v>33</v>
      </c>
      <c r="AA72" s="100" t="s">
        <v>34</v>
      </c>
      <c r="AB72" s="98" t="s">
        <v>32</v>
      </c>
      <c r="AC72" s="98" t="s">
        <v>32</v>
      </c>
      <c r="AD72" s="98" t="s">
        <v>32</v>
      </c>
      <c r="AE72" s="98" t="s">
        <v>32</v>
      </c>
      <c r="AF72" s="98" t="s">
        <v>35</v>
      </c>
      <c r="AG72" s="101" t="s">
        <v>36</v>
      </c>
      <c r="AH72" s="64"/>
      <c r="AI72" s="97" t="str">
        <f>informatieblad!$A$6</f>
        <v>FL20</v>
      </c>
      <c r="AJ72" s="99"/>
      <c r="AK72" s="97" t="str">
        <f>informatieblad!$A$7</f>
        <v>FL30</v>
      </c>
      <c r="AL72" s="66"/>
      <c r="AM72" s="99" t="str">
        <f>informatieblad!$A$8</f>
        <v>FL40</v>
      </c>
      <c r="AN72" s="66"/>
      <c r="AO72" s="97" t="str">
        <f>informatieblad!$A$5</f>
        <v>none</v>
      </c>
      <c r="AP72" s="264"/>
      <c r="AQ72" s="64"/>
      <c r="AR72" s="266" t="s">
        <v>17</v>
      </c>
      <c r="AS72" s="64"/>
      <c r="AT72" s="64"/>
      <c r="AU72" s="266" t="s">
        <v>37</v>
      </c>
      <c r="AV72" s="64"/>
      <c r="AW72" s="269" t="s">
        <v>38</v>
      </c>
      <c r="AX72" s="272"/>
      <c r="AY72" s="272">
        <f>informatieblad!$B$3</f>
        <v>0</v>
      </c>
      <c r="AZ72" s="272">
        <f>informatieblad!$B$3</f>
        <v>0</v>
      </c>
      <c r="BA72" s="272">
        <f>informatieblad!$B$4</f>
        <v>0</v>
      </c>
      <c r="BB72" s="264">
        <f>informatieblad!$B$4</f>
        <v>0</v>
      </c>
      <c r="BC72" s="83"/>
      <c r="BD72" t="s">
        <v>182</v>
      </c>
    </row>
    <row r="73" spans="1:57" ht="15" customHeight="1">
      <c r="A73" s="467"/>
      <c r="B73" s="102" t="str">
        <f>IF($C74&gt;0,IF(MAX(B72:C72)&lt;informatieblad!$Q$4,informatieblad!$P$3,IF(MAX(B72:C72)&gt;informatieblad!$R$4,informatieblad!$P$5,informatieblad!$P$4)),"")</f>
        <v/>
      </c>
      <c r="C73" s="102" t="str">
        <f>IF($C74&gt;0,IF(MAX(B72:C72)&lt;informatieblad!$Q$4,informatieblad!$P$3,IF(MAX(B72:C72)&gt;informatieblad!$R$4,informatieblad!$P$5,informatieblad!$P$4)),"")</f>
        <v/>
      </c>
      <c r="D73" s="504"/>
      <c r="E73" s="527"/>
      <c r="F73" s="505" t="str">
        <f>A72&amp;"-"&amp;informatieblad!$B$21&amp;"-"&amp;B72&amp;"-"&amp;C72&amp;"-"&amp;D72&amp;"-"&amp;E72&amp;"-"&amp;B73&amp;"-"&amp;C73&amp;"-"&amp;G74</f>
        <v>-RctV-------Options None</v>
      </c>
      <c r="G73" s="528"/>
      <c r="H73" s="528"/>
      <c r="I73" s="529"/>
      <c r="J73" s="83"/>
      <c r="K73" s="64"/>
      <c r="L73" s="64"/>
      <c r="M73" s="103">
        <f>A72</f>
        <v>0</v>
      </c>
      <c r="N73" s="104" t="s">
        <v>39</v>
      </c>
      <c r="O73" s="104" t="s">
        <v>39</v>
      </c>
      <c r="P73" s="104" t="s">
        <v>40</v>
      </c>
      <c r="Q73" s="104" t="s">
        <v>40</v>
      </c>
      <c r="R73" s="104" t="s">
        <v>40</v>
      </c>
      <c r="S73" s="105"/>
      <c r="T73" s="106" t="s">
        <v>27</v>
      </c>
      <c r="U73" s="106" t="s">
        <v>40</v>
      </c>
      <c r="V73" s="106" t="s">
        <v>41</v>
      </c>
      <c r="W73" s="104" t="s">
        <v>42</v>
      </c>
      <c r="X73" s="104" t="s">
        <v>43</v>
      </c>
      <c r="Y73" s="104"/>
      <c r="Z73" s="104" t="s">
        <v>44</v>
      </c>
      <c r="AA73" s="107"/>
      <c r="AB73" s="104" t="s">
        <v>45</v>
      </c>
      <c r="AC73" s="104" t="s">
        <v>42</v>
      </c>
      <c r="AD73" s="104" t="s">
        <v>43</v>
      </c>
      <c r="AE73" s="104" t="s">
        <v>46</v>
      </c>
      <c r="AF73" s="108"/>
      <c r="AG73" s="109"/>
      <c r="AH73" s="64"/>
      <c r="AI73" s="262" t="str">
        <f>informatieblad!$A$2</f>
        <v>FL20 loose</v>
      </c>
      <c r="AJ73" s="263"/>
      <c r="AK73" s="262" t="str">
        <f>informatieblad!$A$3</f>
        <v>FL30 loose</v>
      </c>
      <c r="AL73" s="105"/>
      <c r="AM73" s="263" t="str">
        <f>informatieblad!$A$4</f>
        <v>FL40 loose</v>
      </c>
      <c r="AN73" s="105"/>
      <c r="AO73" s="265"/>
      <c r="AP73" s="105"/>
      <c r="AQ73" s="64"/>
      <c r="AR73" s="267"/>
      <c r="AS73" s="64"/>
      <c r="AT73" s="83" t="str">
        <f>'UC mounting materials '!$B$10</f>
        <v>Rail 30x15</v>
      </c>
      <c r="AU73" s="327">
        <f>IF(Z74&lt;1000,(Z74+100),0)*C74</f>
        <v>0</v>
      </c>
      <c r="AV73" s="64"/>
      <c r="AW73" s="265" t="s">
        <v>47</v>
      </c>
      <c r="AX73" s="106" t="s">
        <v>48</v>
      </c>
      <c r="AY73" s="83" t="s">
        <v>23</v>
      </c>
      <c r="AZ73" s="83" t="s">
        <v>23</v>
      </c>
      <c r="BA73" s="83" t="s">
        <v>23</v>
      </c>
      <c r="BB73" s="273" t="s">
        <v>23</v>
      </c>
      <c r="BC73" s="83"/>
      <c r="BD73" t="s">
        <v>40</v>
      </c>
      <c r="BE73" s="83" t="s">
        <v>41</v>
      </c>
    </row>
    <row r="74" spans="1:57" ht="15.75" customHeight="1" thickBot="1">
      <c r="A74" s="468"/>
      <c r="B74" s="371" t="s">
        <v>23</v>
      </c>
      <c r="C74" s="412"/>
      <c r="D74" s="94">
        <f>C74*O74</f>
        <v>0</v>
      </c>
      <c r="E74" s="422" t="s">
        <v>24</v>
      </c>
      <c r="F74" s="93"/>
      <c r="G74" s="451" t="s">
        <v>25</v>
      </c>
      <c r="H74" s="530"/>
      <c r="I74" s="531"/>
      <c r="J74" s="83"/>
      <c r="K74" s="64"/>
      <c r="L74" s="64"/>
      <c r="M74" s="111"/>
      <c r="N74" s="112">
        <f>(((2*(B72+C72))*D72)/1000000)+(((B72-10)*(C72-10))/1000000)</f>
        <v>1E-4</v>
      </c>
      <c r="O74" s="112">
        <f>((IF(N74&lt;=informatieblad!$I$12,informatieblad!$I$12,IF(N74&gt;=informatieblad!$I$12,N74))))</f>
        <v>0.5</v>
      </c>
      <c r="P74" s="112">
        <f>(((2*B72)+(2*C72))*D72)/1000000+(((B72-10)*(C72-10))/1000000)</f>
        <v>1E-4</v>
      </c>
      <c r="Q74" s="112">
        <f>((IF(P74&lt;=informatieblad!$H$12,informatieblad!$H$12,IF(P74&gt;=informatieblad!$H$12,P74))))</f>
        <v>1E-4</v>
      </c>
      <c r="R74" s="113">
        <f>(((Q74*X74)+(Q74*U74))*C74)+BD74</f>
        <v>5</v>
      </c>
      <c r="S74" s="114">
        <f>(((O74*W74)+(O74*V74))*C74)+(BE74)</f>
        <v>12</v>
      </c>
      <c r="T74" s="115" t="str">
        <f>G74</f>
        <v>Options None</v>
      </c>
      <c r="U74" s="116">
        <f>VLOOKUP(G74,informatieblad!$A$37:$D$41,2,FALSE)</f>
        <v>0</v>
      </c>
      <c r="V74" s="116">
        <f>VLOOKUP(G74,informatieblad!$A$37:$D$41,4,FALSE)</f>
        <v>0</v>
      </c>
      <c r="W74" s="117">
        <f>((IF(D72&lt;=900,AC74,IF(D72&gt;=900,AE74))))</f>
        <v>45.1248</v>
      </c>
      <c r="X74" s="118">
        <f>((IF(D72&lt;=900,AB74,IF(D72&gt;=900,AD74))))</f>
        <v>0</v>
      </c>
      <c r="Y74" s="119"/>
      <c r="Z74" s="119">
        <f>(MAX(B72:C72))</f>
        <v>0</v>
      </c>
      <c r="AA74" s="119">
        <f>LOOKUP(Z74,informatieblad!$C$27:$C$32,informatieblad!$A$27:$A$32)</f>
        <v>0.5</v>
      </c>
      <c r="AB74" s="118">
        <f>VLOOKUP(AA74,informatieblad!$A$27:$M$32,6,FALSE)</f>
        <v>0</v>
      </c>
      <c r="AC74" s="118">
        <f>VLOOKUP(AA74,informatieblad!$A$27:$M$32,8,FALSE)</f>
        <v>45.1248</v>
      </c>
      <c r="AD74" s="118">
        <f>VLOOKUP(AA74,informatieblad!$A$27:$M$32,9,FALSE)</f>
        <v>0</v>
      </c>
      <c r="AE74" s="118">
        <f>VLOOKUP(AA74,informatieblad!$A$27:$M$32,11,FALSE)</f>
        <v>32.463200000000001</v>
      </c>
      <c r="AF74" s="120">
        <f>VLOOKUP(AA74,informatieblad!$A$27:$M$32,13,FALSE)</f>
        <v>4</v>
      </c>
      <c r="AG74" s="121">
        <f>ROUND((AF74*P74),1)</f>
        <v>0</v>
      </c>
      <c r="AH74" s="64"/>
      <c r="AI74" s="111">
        <f>(IF(B73=AI72,((2*B72)+(2*C72)),IF(B73=AI73,((2*B72)+(2*C72)),0)))*C74</f>
        <v>0</v>
      </c>
      <c r="AJ74" s="261">
        <f>(IF(C73=AI72,((2*B72)+(2*C72)),IF(C73=AI73,((2*B72)+(2*C72)),0)))*C74</f>
        <v>0</v>
      </c>
      <c r="AK74" s="111">
        <f>(IF(B73=AK72,((2*B72)+(2*C72)),IF(B73=AK73,((2*B72)+(2*C72)),0)))*C74</f>
        <v>0</v>
      </c>
      <c r="AL74" s="260">
        <f>(IF(C73=AK72,((2*B72)+(2*C72)),IF(C73=AK73,((2*B72)+(2*C72)),0)))*C74</f>
        <v>0</v>
      </c>
      <c r="AM74" s="261">
        <f>(IF(B73=AM72,((2*B72)+(2*C72)),IF(B73=AM73,((2*B72)+(2*C72)),0)))*C74</f>
        <v>0</v>
      </c>
      <c r="AN74" s="260">
        <f>(IF(C73=AM72,((2*B72)+(2*C72)),IF(C73=AM73,((2*B72)+(2*C72)),0)))*C74</f>
        <v>0</v>
      </c>
      <c r="AO74" s="111">
        <f>(IF(B73=AO72,((2*B72)+(2*C72)),0))*C74</f>
        <v>0</v>
      </c>
      <c r="AP74" s="260">
        <f>(IF(C73=AO72,((2*B72)+(2*C72)),0))*C74</f>
        <v>0</v>
      </c>
      <c r="AQ74" s="64"/>
      <c r="AR74" s="268">
        <f>D72*C74</f>
        <v>0</v>
      </c>
      <c r="AS74" s="64"/>
      <c r="AT74" s="83" t="str">
        <f>'UC mounting materials '!$B$11</f>
        <v>Rail 41x41</v>
      </c>
      <c r="AU74" s="268">
        <f>IF(Z74&gt;999,(Z74+100),0)*C74</f>
        <v>0</v>
      </c>
      <c r="AV74" s="64"/>
      <c r="AW74" s="111" t="str">
        <f>IF(B73=informatieblad!$A$6,informatieblad!$B$6,IF(B73=informatieblad!$A$7,informatieblad!$B$7,IF(B73=informatieblad!$A$8,informatieblad!$B$8,IF(B73=informatieblad!$A$2,informatieblad!$B$2,IF(B73=informatieblad!$A$3,informatieblad!$B$3,IF(B73=informatieblad!$A$4,informatieblad!$B$4,IF(B73=informatieblad!$A$5,informatieblad!$B$5,"")))))))</f>
        <v/>
      </c>
      <c r="AX74" s="275" t="str">
        <f>IF(C73=informatieblad!$A$6,informatieblad!$B$6,IF(C73=informatieblad!$A$7,informatieblad!$B$7,IF(C73=informatieblad!$A$8,informatieblad!$B$8,IF(C73=informatieblad!$A$2,informatieblad!$B$2,IF(C73=informatieblad!$A$3,informatieblad!$B$3,IF(C73=informatieblad!$A$4,informatieblad!$B$4,IF(C73=informatieblad!$A$5,informatieblad!$B$5,"")))))))</f>
        <v/>
      </c>
      <c r="AY74" s="276">
        <f>IF(AW74=AY72,(4*C74),0)</f>
        <v>0</v>
      </c>
      <c r="AZ74" s="276">
        <f>IF(AX74=AY72,(4*C74),0)</f>
        <v>0</v>
      </c>
      <c r="BA74" s="276">
        <f>IF(AW74=BA72,(4*C74),0)</f>
        <v>0</v>
      </c>
      <c r="BB74" s="274">
        <f>IF(AX74=BA72,(4*C74),0)</f>
        <v>0</v>
      </c>
      <c r="BC74" s="83"/>
      <c r="BD74" s="374">
        <v>5</v>
      </c>
      <c r="BE74">
        <f>BD74*2.4</f>
        <v>12</v>
      </c>
    </row>
    <row r="75" spans="1:57" ht="15.75" thickBot="1">
      <c r="A75" s="88"/>
      <c r="B75" s="88"/>
      <c r="C75" s="88"/>
      <c r="D75" s="88"/>
      <c r="F75" s="88"/>
      <c r="G75" s="88"/>
      <c r="H75" s="88"/>
      <c r="I75" s="88"/>
      <c r="J75" s="83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83"/>
      <c r="AJ75" s="83"/>
      <c r="AK75" s="83"/>
      <c r="AL75" s="83"/>
      <c r="AM75" s="83"/>
      <c r="AN75" s="83"/>
      <c r="AO75" s="83"/>
      <c r="AP75" s="83"/>
      <c r="AQ75" s="64"/>
      <c r="AR75" s="83"/>
      <c r="AS75" s="64"/>
      <c r="AT75" s="64"/>
      <c r="AU75" s="83"/>
      <c r="AV75" s="64"/>
      <c r="AW75" s="83"/>
      <c r="AX75" s="83"/>
      <c r="AY75" s="83"/>
      <c r="AZ75" s="83"/>
      <c r="BA75" s="83"/>
      <c r="BB75" s="83"/>
      <c r="BC75" s="83"/>
    </row>
    <row r="76" spans="1:57" ht="15.75" customHeight="1" thickBot="1">
      <c r="A76" s="445"/>
      <c r="B76" s="96"/>
      <c r="C76" s="96"/>
      <c r="D76" s="96"/>
      <c r="E76" s="96"/>
      <c r="F76" s="421"/>
      <c r="G76" s="423" t="s">
        <v>181</v>
      </c>
      <c r="H76" s="424">
        <f>ROUND(((B76*C76)/1000000),2)</f>
        <v>0</v>
      </c>
      <c r="I76" s="425" t="s">
        <v>24</v>
      </c>
      <c r="J76" s="366" t="s">
        <v>20</v>
      </c>
      <c r="K76" s="64"/>
      <c r="L76" s="64"/>
      <c r="M76" s="97" t="s">
        <v>26</v>
      </c>
      <c r="N76" s="98" t="s">
        <v>27</v>
      </c>
      <c r="O76" s="98" t="s">
        <v>28</v>
      </c>
      <c r="P76" s="98" t="s">
        <v>27</v>
      </c>
      <c r="Q76" s="98" t="s">
        <v>28</v>
      </c>
      <c r="R76" s="98" t="s">
        <v>29</v>
      </c>
      <c r="S76" s="66" t="s">
        <v>30</v>
      </c>
      <c r="T76" s="99" t="s">
        <v>31</v>
      </c>
      <c r="U76" s="99"/>
      <c r="V76" s="99"/>
      <c r="W76" s="98" t="s">
        <v>32</v>
      </c>
      <c r="X76" s="98" t="s">
        <v>32</v>
      </c>
      <c r="Y76" s="98"/>
      <c r="Z76" s="98" t="s">
        <v>33</v>
      </c>
      <c r="AA76" s="100" t="s">
        <v>34</v>
      </c>
      <c r="AB76" s="98" t="s">
        <v>32</v>
      </c>
      <c r="AC76" s="98" t="s">
        <v>32</v>
      </c>
      <c r="AD76" s="98" t="s">
        <v>32</v>
      </c>
      <c r="AE76" s="98" t="s">
        <v>32</v>
      </c>
      <c r="AF76" s="98" t="s">
        <v>35</v>
      </c>
      <c r="AG76" s="101" t="s">
        <v>36</v>
      </c>
      <c r="AH76" s="64"/>
      <c r="AI76" s="97" t="str">
        <f>informatieblad!$A$6</f>
        <v>FL20</v>
      </c>
      <c r="AJ76" s="99"/>
      <c r="AK76" s="97" t="str">
        <f>informatieblad!$A$7</f>
        <v>FL30</v>
      </c>
      <c r="AL76" s="66"/>
      <c r="AM76" s="99" t="str">
        <f>informatieblad!$A$8</f>
        <v>FL40</v>
      </c>
      <c r="AN76" s="66"/>
      <c r="AO76" s="97" t="str">
        <f>informatieblad!$A$5</f>
        <v>none</v>
      </c>
      <c r="AP76" s="264"/>
      <c r="AQ76" s="64"/>
      <c r="AR76" s="266" t="s">
        <v>17</v>
      </c>
      <c r="AS76" s="64"/>
      <c r="AT76" s="64"/>
      <c r="AU76" s="266" t="s">
        <v>37</v>
      </c>
      <c r="AV76" s="64"/>
      <c r="AW76" s="269" t="s">
        <v>38</v>
      </c>
      <c r="AX76" s="272"/>
      <c r="AY76" s="272">
        <f>informatieblad!$B$3</f>
        <v>0</v>
      </c>
      <c r="AZ76" s="272">
        <f>informatieblad!$B$3</f>
        <v>0</v>
      </c>
      <c r="BA76" s="272">
        <f>informatieblad!$B$4</f>
        <v>0</v>
      </c>
      <c r="BB76" s="264">
        <f>informatieblad!$B$4</f>
        <v>0</v>
      </c>
      <c r="BC76" s="83"/>
      <c r="BD76" t="s">
        <v>182</v>
      </c>
    </row>
    <row r="77" spans="1:57" ht="15" customHeight="1">
      <c r="A77" s="467"/>
      <c r="B77" s="102" t="str">
        <f>IF($C78&gt;0,IF(MAX(B76:C76)&lt;informatieblad!$Q$4,informatieblad!$P$3,IF(MAX(B76:C76)&gt;informatieblad!$R$4,informatieblad!$P$5,informatieblad!$P$4)),"")</f>
        <v/>
      </c>
      <c r="C77" s="102" t="str">
        <f>IF($C78&gt;0,IF(MAX(B76:C76)&lt;informatieblad!$Q$4,informatieblad!$P$3,IF(MAX(B76:C76)&gt;informatieblad!$R$4,informatieblad!$P$5,informatieblad!$P$4)),"")</f>
        <v/>
      </c>
      <c r="D77" s="504"/>
      <c r="E77" s="527"/>
      <c r="F77" s="505" t="str">
        <f>A76&amp;"-"&amp;informatieblad!$B$21&amp;"-"&amp;B76&amp;"-"&amp;C76&amp;"-"&amp;D76&amp;"-"&amp;E76&amp;"-"&amp;B77&amp;"-"&amp;C77&amp;"-"&amp;G78</f>
        <v>-RctV-------Options None</v>
      </c>
      <c r="G77" s="528"/>
      <c r="H77" s="528"/>
      <c r="I77" s="529"/>
      <c r="J77" s="83"/>
      <c r="K77" s="64"/>
      <c r="L77" s="64"/>
      <c r="M77" s="103">
        <f t="shared" ref="M77" si="208">A76</f>
        <v>0</v>
      </c>
      <c r="N77" s="104" t="s">
        <v>39</v>
      </c>
      <c r="O77" s="104" t="s">
        <v>39</v>
      </c>
      <c r="P77" s="104" t="s">
        <v>40</v>
      </c>
      <c r="Q77" s="104" t="s">
        <v>40</v>
      </c>
      <c r="R77" s="104" t="s">
        <v>40</v>
      </c>
      <c r="S77" s="105"/>
      <c r="T77" s="106" t="s">
        <v>27</v>
      </c>
      <c r="U77" s="106" t="s">
        <v>40</v>
      </c>
      <c r="V77" s="106" t="s">
        <v>41</v>
      </c>
      <c r="W77" s="104" t="s">
        <v>42</v>
      </c>
      <c r="X77" s="104" t="s">
        <v>43</v>
      </c>
      <c r="Y77" s="104"/>
      <c r="Z77" s="104" t="s">
        <v>44</v>
      </c>
      <c r="AA77" s="107"/>
      <c r="AB77" s="104" t="s">
        <v>45</v>
      </c>
      <c r="AC77" s="104" t="s">
        <v>42</v>
      </c>
      <c r="AD77" s="104" t="s">
        <v>43</v>
      </c>
      <c r="AE77" s="104" t="s">
        <v>46</v>
      </c>
      <c r="AF77" s="108"/>
      <c r="AG77" s="109"/>
      <c r="AH77" s="64"/>
      <c r="AI77" s="262" t="str">
        <f>informatieblad!$A$2</f>
        <v>FL20 loose</v>
      </c>
      <c r="AJ77" s="263"/>
      <c r="AK77" s="262" t="str">
        <f>informatieblad!$A$3</f>
        <v>FL30 loose</v>
      </c>
      <c r="AL77" s="105"/>
      <c r="AM77" s="263" t="str">
        <f>informatieblad!$A$4</f>
        <v>FL40 loose</v>
      </c>
      <c r="AN77" s="105"/>
      <c r="AO77" s="265"/>
      <c r="AP77" s="105"/>
      <c r="AQ77" s="64"/>
      <c r="AR77" s="267"/>
      <c r="AS77" s="64"/>
      <c r="AT77" s="83" t="str">
        <f>'UC mounting materials '!$B$10</f>
        <v>Rail 30x15</v>
      </c>
      <c r="AU77" s="327">
        <f t="shared" ref="AU77" si="209">IF(Z78&lt;1000,(Z78+100),0)*C78</f>
        <v>0</v>
      </c>
      <c r="AV77" s="64"/>
      <c r="AW77" s="265" t="s">
        <v>47</v>
      </c>
      <c r="AX77" s="106" t="s">
        <v>48</v>
      </c>
      <c r="AY77" s="83" t="s">
        <v>23</v>
      </c>
      <c r="AZ77" s="83" t="s">
        <v>23</v>
      </c>
      <c r="BA77" s="83" t="s">
        <v>23</v>
      </c>
      <c r="BB77" s="273" t="s">
        <v>23</v>
      </c>
      <c r="BC77" s="83"/>
      <c r="BD77" t="s">
        <v>40</v>
      </c>
      <c r="BE77" s="83" t="s">
        <v>41</v>
      </c>
    </row>
    <row r="78" spans="1:57" ht="15.75" customHeight="1" thickBot="1">
      <c r="A78" s="468"/>
      <c r="B78" s="371" t="s">
        <v>23</v>
      </c>
      <c r="C78" s="412"/>
      <c r="D78" s="94">
        <f>C78*O78</f>
        <v>0</v>
      </c>
      <c r="E78" s="422" t="s">
        <v>24</v>
      </c>
      <c r="F78" s="93"/>
      <c r="G78" s="451" t="s">
        <v>25</v>
      </c>
      <c r="H78" s="530"/>
      <c r="I78" s="531"/>
      <c r="J78" s="83"/>
      <c r="K78" s="64"/>
      <c r="L78" s="64"/>
      <c r="M78" s="111"/>
      <c r="N78" s="112">
        <f t="shared" ref="N78" si="210">(((2*(B76+C76))*D76)/1000000)+(((B76-10)*(C76-10))/1000000)</f>
        <v>1E-4</v>
      </c>
      <c r="O78" s="112">
        <f>((IF(N78&lt;=informatieblad!$I$12,informatieblad!$I$12,IF(N78&gt;=informatieblad!$I$12,N78))))</f>
        <v>0.5</v>
      </c>
      <c r="P78" s="112">
        <f t="shared" ref="P78" si="211">(((2*B76)+(2*C76))*D76)/1000000+(((B76-10)*(C76-10))/1000000)</f>
        <v>1E-4</v>
      </c>
      <c r="Q78" s="112">
        <f>((IF(P78&lt;=informatieblad!$H$12,informatieblad!$H$12,IF(P78&gt;=informatieblad!$H$12,P78))))</f>
        <v>1E-4</v>
      </c>
      <c r="R78" s="113">
        <f t="shared" ref="R78" si="212">(((Q78*X78)+(Q78*U78))*C78)+BD78</f>
        <v>5</v>
      </c>
      <c r="S78" s="114">
        <f t="shared" ref="S78" si="213">(((O78*W78)+(O78*V78))*C78)+(BE78)</f>
        <v>12</v>
      </c>
      <c r="T78" s="115" t="str">
        <f t="shared" ref="T78" si="214">G78</f>
        <v>Options None</v>
      </c>
      <c r="U78" s="116">
        <f>VLOOKUP(G78,informatieblad!$A$37:$D$41,2,FALSE)</f>
        <v>0</v>
      </c>
      <c r="V78" s="116">
        <f>VLOOKUP(G78,informatieblad!$A$37:$D$41,4,FALSE)</f>
        <v>0</v>
      </c>
      <c r="W78" s="117">
        <f t="shared" ref="W78" si="215">((IF(D76&lt;=900,AC78,IF(D76&gt;=900,AE78))))</f>
        <v>45.1248</v>
      </c>
      <c r="X78" s="118">
        <f t="shared" ref="X78" si="216">((IF(D76&lt;=900,AB78,IF(D76&gt;=900,AD78))))</f>
        <v>0</v>
      </c>
      <c r="Y78" s="119"/>
      <c r="Z78" s="119">
        <f t="shared" ref="Z78" si="217">(MAX(B76:C76))</f>
        <v>0</v>
      </c>
      <c r="AA78" s="119">
        <f>LOOKUP(Z78,informatieblad!$C$27:$C$32,informatieblad!$A$27:$A$32)</f>
        <v>0.5</v>
      </c>
      <c r="AB78" s="118">
        <f>VLOOKUP(AA78,informatieblad!$A$27:$M$32,6,FALSE)</f>
        <v>0</v>
      </c>
      <c r="AC78" s="118">
        <f>VLOOKUP(AA78,informatieblad!$A$27:$M$32,8,FALSE)</f>
        <v>45.1248</v>
      </c>
      <c r="AD78" s="118">
        <f>VLOOKUP(AA78,informatieblad!$A$27:$M$32,9,FALSE)</f>
        <v>0</v>
      </c>
      <c r="AE78" s="118">
        <f>VLOOKUP(AA78,informatieblad!$A$27:$M$32,11,FALSE)</f>
        <v>32.463200000000001</v>
      </c>
      <c r="AF78" s="120">
        <f>VLOOKUP(AA78,informatieblad!$A$27:$M$32,13,FALSE)</f>
        <v>4</v>
      </c>
      <c r="AG78" s="121">
        <f t="shared" ref="AG78" si="218">ROUND((AF78*P78),1)</f>
        <v>0</v>
      </c>
      <c r="AH78" s="64"/>
      <c r="AI78" s="111">
        <f t="shared" ref="AI78" si="219">(IF(B77=AI76,((2*B76)+(2*C76)),IF(B77=AI77,((2*B76)+(2*C76)),0)))*C78</f>
        <v>0</v>
      </c>
      <c r="AJ78" s="261">
        <f t="shared" ref="AJ78" si="220">(IF(C77=AI76,((2*B76)+(2*C76)),IF(C77=AI77,((2*B76)+(2*C76)),0)))*C78</f>
        <v>0</v>
      </c>
      <c r="AK78" s="111">
        <f t="shared" ref="AK78" si="221">(IF(B77=AK76,((2*B76)+(2*C76)),IF(B77=AK77,((2*B76)+(2*C76)),0)))*C78</f>
        <v>0</v>
      </c>
      <c r="AL78" s="260">
        <f t="shared" ref="AL78" si="222">(IF(C77=AK76,((2*B76)+(2*C76)),IF(C77=AK77,((2*B76)+(2*C76)),0)))*C78</f>
        <v>0</v>
      </c>
      <c r="AM78" s="261">
        <f t="shared" ref="AM78" si="223">(IF(B77=AM76,((2*B76)+(2*C76)),IF(B77=AM77,((2*B76)+(2*C76)),0)))*C78</f>
        <v>0</v>
      </c>
      <c r="AN78" s="260">
        <f t="shared" ref="AN78" si="224">(IF(C77=AM76,((2*B76)+(2*C76)),IF(C77=AM77,((2*B76)+(2*C76)),0)))*C78</f>
        <v>0</v>
      </c>
      <c r="AO78" s="111">
        <f t="shared" ref="AO78" si="225">(IF(B77=AO76,((2*B76)+(2*C76)),0))*C78</f>
        <v>0</v>
      </c>
      <c r="AP78" s="260">
        <f t="shared" ref="AP78" si="226">(IF(C77=AO76,((2*B76)+(2*C76)),0))*C78</f>
        <v>0</v>
      </c>
      <c r="AQ78" s="64"/>
      <c r="AR78" s="268">
        <f t="shared" ref="AR78" si="227">D76*C78</f>
        <v>0</v>
      </c>
      <c r="AS78" s="64"/>
      <c r="AT78" s="83" t="str">
        <f>'UC mounting materials '!$B$11</f>
        <v>Rail 41x41</v>
      </c>
      <c r="AU78" s="268">
        <f t="shared" ref="AU78" si="228">IF(Z78&gt;999,(Z78+100),0)*C78</f>
        <v>0</v>
      </c>
      <c r="AV78" s="64"/>
      <c r="AW78" s="111" t="str">
        <f>IF(B77=informatieblad!$A$6,informatieblad!$B$6,IF(B77=informatieblad!$A$7,informatieblad!$B$7,IF(B77=informatieblad!$A$8,informatieblad!$B$8,IF(B77=informatieblad!$A$2,informatieblad!$B$2,IF(B77=informatieblad!$A$3,informatieblad!$B$3,IF(B77=informatieblad!$A$4,informatieblad!$B$4,IF(B77=informatieblad!$A$5,informatieblad!$B$5,"")))))))</f>
        <v/>
      </c>
      <c r="AX78" s="275" t="str">
        <f>IF(C77=informatieblad!$A$6,informatieblad!$B$6,IF(C77=informatieblad!$A$7,informatieblad!$B$7,IF(C77=informatieblad!$A$8,informatieblad!$B$8,IF(C77=informatieblad!$A$2,informatieblad!$B$2,IF(C77=informatieblad!$A$3,informatieblad!$B$3,IF(C77=informatieblad!$A$4,informatieblad!$B$4,IF(C77=informatieblad!$A$5,informatieblad!$B$5,"")))))))</f>
        <v/>
      </c>
      <c r="AY78" s="276">
        <f t="shared" ref="AY78" si="229">IF(AW78=AY76,(4*C78),0)</f>
        <v>0</v>
      </c>
      <c r="AZ78" s="276">
        <f t="shared" ref="AZ78" si="230">IF(AX78=AY76,(4*C78),0)</f>
        <v>0</v>
      </c>
      <c r="BA78" s="276">
        <f t="shared" ref="BA78" si="231">IF(AW78=BA76,(4*C78),0)</f>
        <v>0</v>
      </c>
      <c r="BB78" s="274">
        <f t="shared" ref="BB78" si="232">IF(AX78=BA76,(4*C78),0)</f>
        <v>0</v>
      </c>
      <c r="BC78" s="83"/>
      <c r="BD78" s="374">
        <v>5</v>
      </c>
      <c r="BE78">
        <f t="shared" ref="BE78" si="233">BD78*2.4</f>
        <v>12</v>
      </c>
    </row>
    <row r="79" spans="1:57" ht="5.0999999999999996" customHeight="1" thickBot="1">
      <c r="A79" s="88"/>
      <c r="B79" s="88"/>
      <c r="C79" s="88"/>
      <c r="D79" s="88"/>
      <c r="F79" s="88"/>
      <c r="G79" s="88"/>
      <c r="H79" s="88"/>
      <c r="I79" s="88"/>
      <c r="J79" s="83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83"/>
      <c r="AJ79" s="83"/>
      <c r="AK79" s="83"/>
      <c r="AL79" s="83"/>
      <c r="AM79" s="83"/>
      <c r="AN79" s="83"/>
      <c r="AO79" s="83"/>
      <c r="AP79" s="83"/>
      <c r="AQ79" s="64"/>
      <c r="AR79" s="83"/>
      <c r="AS79" s="64"/>
      <c r="AT79" s="64"/>
      <c r="AU79" s="83"/>
      <c r="AV79" s="64"/>
      <c r="AW79" s="83"/>
      <c r="AX79" s="83"/>
      <c r="AY79" s="83"/>
      <c r="AZ79" s="83"/>
      <c r="BA79" s="83"/>
      <c r="BB79" s="83"/>
      <c r="BC79" s="83"/>
    </row>
    <row r="80" spans="1:57" ht="15.75" customHeight="1" thickBot="1">
      <c r="A80" s="445"/>
      <c r="B80" s="96"/>
      <c r="C80" s="96"/>
      <c r="D80" s="96"/>
      <c r="E80" s="96"/>
      <c r="F80" s="421"/>
      <c r="G80" s="423" t="s">
        <v>181</v>
      </c>
      <c r="H80" s="424">
        <f>ROUND(((B80*C80)/1000000),2)</f>
        <v>0</v>
      </c>
      <c r="I80" s="425" t="s">
        <v>24</v>
      </c>
      <c r="J80" s="366" t="s">
        <v>20</v>
      </c>
      <c r="K80" s="64"/>
      <c r="L80" s="64"/>
      <c r="M80" s="97" t="s">
        <v>26</v>
      </c>
      <c r="N80" s="98" t="s">
        <v>27</v>
      </c>
      <c r="O80" s="98" t="s">
        <v>28</v>
      </c>
      <c r="P80" s="98" t="s">
        <v>27</v>
      </c>
      <c r="Q80" s="98" t="s">
        <v>28</v>
      </c>
      <c r="R80" s="98" t="s">
        <v>29</v>
      </c>
      <c r="S80" s="66" t="s">
        <v>30</v>
      </c>
      <c r="T80" s="99" t="s">
        <v>31</v>
      </c>
      <c r="U80" s="99"/>
      <c r="V80" s="99"/>
      <c r="W80" s="98" t="s">
        <v>32</v>
      </c>
      <c r="X80" s="98" t="s">
        <v>32</v>
      </c>
      <c r="Y80" s="98"/>
      <c r="Z80" s="98" t="s">
        <v>33</v>
      </c>
      <c r="AA80" s="100" t="s">
        <v>34</v>
      </c>
      <c r="AB80" s="98" t="s">
        <v>32</v>
      </c>
      <c r="AC80" s="98" t="s">
        <v>32</v>
      </c>
      <c r="AD80" s="98" t="s">
        <v>32</v>
      </c>
      <c r="AE80" s="98" t="s">
        <v>32</v>
      </c>
      <c r="AF80" s="98" t="s">
        <v>35</v>
      </c>
      <c r="AG80" s="101" t="s">
        <v>36</v>
      </c>
      <c r="AH80" s="64"/>
      <c r="AI80" s="97" t="str">
        <f>informatieblad!$A$6</f>
        <v>FL20</v>
      </c>
      <c r="AJ80" s="99"/>
      <c r="AK80" s="97" t="str">
        <f>informatieblad!$A$7</f>
        <v>FL30</v>
      </c>
      <c r="AL80" s="66"/>
      <c r="AM80" s="99" t="str">
        <f>informatieblad!$A$8</f>
        <v>FL40</v>
      </c>
      <c r="AN80" s="66"/>
      <c r="AO80" s="97" t="str">
        <f>informatieblad!$A$5</f>
        <v>none</v>
      </c>
      <c r="AP80" s="264"/>
      <c r="AQ80" s="64"/>
      <c r="AR80" s="266" t="s">
        <v>17</v>
      </c>
      <c r="AS80" s="64"/>
      <c r="AT80" s="64"/>
      <c r="AU80" s="266" t="s">
        <v>37</v>
      </c>
      <c r="AV80" s="64"/>
      <c r="AW80" s="269" t="s">
        <v>38</v>
      </c>
      <c r="AX80" s="272"/>
      <c r="AY80" s="272">
        <f>informatieblad!$B$3</f>
        <v>0</v>
      </c>
      <c r="AZ80" s="272">
        <f>informatieblad!$B$3</f>
        <v>0</v>
      </c>
      <c r="BA80" s="272">
        <f>informatieblad!$B$4</f>
        <v>0</v>
      </c>
      <c r="BB80" s="264">
        <f>informatieblad!$B$4</f>
        <v>0</v>
      </c>
      <c r="BC80" s="83"/>
      <c r="BD80" t="s">
        <v>182</v>
      </c>
    </row>
    <row r="81" spans="1:57" ht="15" customHeight="1">
      <c r="A81" s="467"/>
      <c r="B81" s="102" t="str">
        <f>IF($C82&gt;0,IF(MAX(B80:C80)&lt;informatieblad!$Q$4,informatieblad!$P$3,IF(MAX(B80:C80)&gt;informatieblad!$R$4,informatieblad!$P$5,informatieblad!$P$4)),"")</f>
        <v/>
      </c>
      <c r="C81" s="102" t="str">
        <f>IF($C82&gt;0,IF(MAX(B80:C80)&lt;informatieblad!$Q$4,informatieblad!$P$3,IF(MAX(B80:C80)&gt;informatieblad!$R$4,informatieblad!$P$5,informatieblad!$P$4)),"")</f>
        <v/>
      </c>
      <c r="D81" s="504"/>
      <c r="E81" s="527"/>
      <c r="F81" s="505" t="str">
        <f>A80&amp;"-"&amp;informatieblad!$B$21&amp;"-"&amp;B80&amp;"-"&amp;C80&amp;"-"&amp;D80&amp;"-"&amp;E80&amp;"-"&amp;B81&amp;"-"&amp;C81&amp;"-"&amp;G82</f>
        <v>-RctV-------Options None</v>
      </c>
      <c r="G81" s="528"/>
      <c r="H81" s="528"/>
      <c r="I81" s="529"/>
      <c r="J81" s="83"/>
      <c r="K81" s="64"/>
      <c r="L81" s="64"/>
      <c r="M81" s="103">
        <f t="shared" ref="M81" si="234">A80</f>
        <v>0</v>
      </c>
      <c r="N81" s="104" t="s">
        <v>39</v>
      </c>
      <c r="O81" s="104" t="s">
        <v>39</v>
      </c>
      <c r="P81" s="104" t="s">
        <v>40</v>
      </c>
      <c r="Q81" s="104" t="s">
        <v>40</v>
      </c>
      <c r="R81" s="104" t="s">
        <v>40</v>
      </c>
      <c r="S81" s="105"/>
      <c r="T81" s="106" t="s">
        <v>27</v>
      </c>
      <c r="U81" s="106" t="s">
        <v>40</v>
      </c>
      <c r="V81" s="106" t="s">
        <v>41</v>
      </c>
      <c r="W81" s="104" t="s">
        <v>42</v>
      </c>
      <c r="X81" s="104" t="s">
        <v>43</v>
      </c>
      <c r="Y81" s="104"/>
      <c r="Z81" s="104" t="s">
        <v>44</v>
      </c>
      <c r="AA81" s="107"/>
      <c r="AB81" s="104" t="s">
        <v>45</v>
      </c>
      <c r="AC81" s="104" t="s">
        <v>42</v>
      </c>
      <c r="AD81" s="104" t="s">
        <v>43</v>
      </c>
      <c r="AE81" s="104" t="s">
        <v>46</v>
      </c>
      <c r="AF81" s="108"/>
      <c r="AG81" s="109"/>
      <c r="AH81" s="64"/>
      <c r="AI81" s="262" t="str">
        <f>informatieblad!$A$2</f>
        <v>FL20 loose</v>
      </c>
      <c r="AJ81" s="263"/>
      <c r="AK81" s="262" t="str">
        <f>informatieblad!$A$3</f>
        <v>FL30 loose</v>
      </c>
      <c r="AL81" s="105"/>
      <c r="AM81" s="263" t="str">
        <f>informatieblad!$A$4</f>
        <v>FL40 loose</v>
      </c>
      <c r="AN81" s="105"/>
      <c r="AO81" s="265"/>
      <c r="AP81" s="105"/>
      <c r="AQ81" s="64"/>
      <c r="AR81" s="267"/>
      <c r="AS81" s="64"/>
      <c r="AT81" s="83" t="str">
        <f>'UC mounting materials '!$B$10</f>
        <v>Rail 30x15</v>
      </c>
      <c r="AU81" s="327">
        <f t="shared" ref="AU81" si="235">IF(Z82&lt;1000,(Z82+100),0)*C82</f>
        <v>0</v>
      </c>
      <c r="AV81" s="64"/>
      <c r="AW81" s="265" t="s">
        <v>47</v>
      </c>
      <c r="AX81" s="106" t="s">
        <v>48</v>
      </c>
      <c r="AY81" s="83" t="s">
        <v>23</v>
      </c>
      <c r="AZ81" s="83" t="s">
        <v>23</v>
      </c>
      <c r="BA81" s="83" t="s">
        <v>23</v>
      </c>
      <c r="BB81" s="273" t="s">
        <v>23</v>
      </c>
      <c r="BC81" s="83"/>
      <c r="BD81" t="s">
        <v>40</v>
      </c>
      <c r="BE81" s="83" t="s">
        <v>41</v>
      </c>
    </row>
    <row r="82" spans="1:57" ht="15.75" customHeight="1" thickBot="1">
      <c r="A82" s="468"/>
      <c r="B82" s="371" t="s">
        <v>23</v>
      </c>
      <c r="C82" s="412"/>
      <c r="D82" s="94">
        <f>C82*O82</f>
        <v>0</v>
      </c>
      <c r="E82" s="422" t="s">
        <v>24</v>
      </c>
      <c r="F82" s="93"/>
      <c r="G82" s="451" t="s">
        <v>25</v>
      </c>
      <c r="H82" s="530"/>
      <c r="I82" s="531"/>
      <c r="J82" s="83"/>
      <c r="K82" s="64"/>
      <c r="L82" s="64"/>
      <c r="M82" s="111"/>
      <c r="N82" s="112">
        <f t="shared" ref="N82" si="236">(((2*(B80+C80))*D80)/1000000)+(((B80-10)*(C80-10))/1000000)</f>
        <v>1E-4</v>
      </c>
      <c r="O82" s="112">
        <f>((IF(N82&lt;=informatieblad!$I$12,informatieblad!$I$12,IF(N82&gt;=informatieblad!$I$12,N82))))</f>
        <v>0.5</v>
      </c>
      <c r="P82" s="112">
        <f t="shared" ref="P82" si="237">(((2*B80)+(2*C80))*D80)/1000000+(((B80-10)*(C80-10))/1000000)</f>
        <v>1E-4</v>
      </c>
      <c r="Q82" s="112">
        <f>((IF(P82&lt;=informatieblad!$H$12,informatieblad!$H$12,IF(P82&gt;=informatieblad!$H$12,P82))))</f>
        <v>1E-4</v>
      </c>
      <c r="R82" s="113">
        <f t="shared" ref="R82" si="238">(((Q82*X82)+(Q82*U82))*C82)+BD82</f>
        <v>5</v>
      </c>
      <c r="S82" s="114">
        <f t="shared" ref="S82" si="239">(((O82*W82)+(O82*V82))*C82)+(BE82)</f>
        <v>12</v>
      </c>
      <c r="T82" s="115" t="str">
        <f t="shared" ref="T82" si="240">G82</f>
        <v>Options None</v>
      </c>
      <c r="U82" s="116">
        <f>VLOOKUP(G82,informatieblad!$A$37:$D$41,2,FALSE)</f>
        <v>0</v>
      </c>
      <c r="V82" s="116">
        <f>VLOOKUP(G82,informatieblad!$A$37:$D$41,4,FALSE)</f>
        <v>0</v>
      </c>
      <c r="W82" s="117">
        <f t="shared" ref="W82" si="241">((IF(D80&lt;=900,AC82,IF(D80&gt;=900,AE82))))</f>
        <v>45.1248</v>
      </c>
      <c r="X82" s="118">
        <f t="shared" ref="X82" si="242">((IF(D80&lt;=900,AB82,IF(D80&gt;=900,AD82))))</f>
        <v>0</v>
      </c>
      <c r="Y82" s="119"/>
      <c r="Z82" s="119">
        <f t="shared" ref="Z82" si="243">(MAX(B80:C80))</f>
        <v>0</v>
      </c>
      <c r="AA82" s="119">
        <f>LOOKUP(Z82,informatieblad!$C$27:$C$32,informatieblad!$A$27:$A$32)</f>
        <v>0.5</v>
      </c>
      <c r="AB82" s="118">
        <f>VLOOKUP(AA82,informatieblad!$A$27:$M$32,6,FALSE)</f>
        <v>0</v>
      </c>
      <c r="AC82" s="118">
        <f>VLOOKUP(AA82,informatieblad!$A$27:$M$32,8,FALSE)</f>
        <v>45.1248</v>
      </c>
      <c r="AD82" s="118">
        <f>VLOOKUP(AA82,informatieblad!$A$27:$M$32,9,FALSE)</f>
        <v>0</v>
      </c>
      <c r="AE82" s="118">
        <f>VLOOKUP(AA82,informatieblad!$A$27:$M$32,11,FALSE)</f>
        <v>32.463200000000001</v>
      </c>
      <c r="AF82" s="120">
        <f>VLOOKUP(AA82,informatieblad!$A$27:$M$32,13,FALSE)</f>
        <v>4</v>
      </c>
      <c r="AG82" s="121">
        <f t="shared" ref="AG82" si="244">ROUND((AF82*P82),1)</f>
        <v>0</v>
      </c>
      <c r="AH82" s="64"/>
      <c r="AI82" s="111">
        <f t="shared" ref="AI82" si="245">(IF(B81=AI80,((2*B80)+(2*C80)),IF(B81=AI81,((2*B80)+(2*C80)),0)))*C82</f>
        <v>0</v>
      </c>
      <c r="AJ82" s="261">
        <f t="shared" ref="AJ82" si="246">(IF(C81=AI80,((2*B80)+(2*C80)),IF(C81=AI81,((2*B80)+(2*C80)),0)))*C82</f>
        <v>0</v>
      </c>
      <c r="AK82" s="111">
        <f t="shared" ref="AK82" si="247">(IF(B81=AK80,((2*B80)+(2*C80)),IF(B81=AK81,((2*B80)+(2*C80)),0)))*C82</f>
        <v>0</v>
      </c>
      <c r="AL82" s="260">
        <f t="shared" ref="AL82" si="248">(IF(C81=AK80,((2*B80)+(2*C80)),IF(C81=AK81,((2*B80)+(2*C80)),0)))*C82</f>
        <v>0</v>
      </c>
      <c r="AM82" s="261">
        <f t="shared" ref="AM82" si="249">(IF(B81=AM80,((2*B80)+(2*C80)),IF(B81=AM81,((2*B80)+(2*C80)),0)))*C82</f>
        <v>0</v>
      </c>
      <c r="AN82" s="260">
        <f t="shared" ref="AN82" si="250">(IF(C81=AM80,((2*B80)+(2*C80)),IF(C81=AM81,((2*B80)+(2*C80)),0)))*C82</f>
        <v>0</v>
      </c>
      <c r="AO82" s="111">
        <f t="shared" ref="AO82" si="251">(IF(B81=AO80,((2*B80)+(2*C80)),0))*C82</f>
        <v>0</v>
      </c>
      <c r="AP82" s="260">
        <f t="shared" ref="AP82" si="252">(IF(C81=AO80,((2*B80)+(2*C80)),0))*C82</f>
        <v>0</v>
      </c>
      <c r="AQ82" s="64"/>
      <c r="AR82" s="268">
        <f t="shared" ref="AR82" si="253">D80*C82</f>
        <v>0</v>
      </c>
      <c r="AS82" s="64"/>
      <c r="AT82" s="83" t="str">
        <f>'UC mounting materials '!$B$11</f>
        <v>Rail 41x41</v>
      </c>
      <c r="AU82" s="268">
        <f t="shared" ref="AU82" si="254">IF(Z82&gt;999,(Z82+100),0)*C82</f>
        <v>0</v>
      </c>
      <c r="AV82" s="64"/>
      <c r="AW82" s="111" t="str">
        <f>IF(B81=informatieblad!$A$6,informatieblad!$B$6,IF(B81=informatieblad!$A$7,informatieblad!$B$7,IF(B81=informatieblad!$A$8,informatieblad!$B$8,IF(B81=informatieblad!$A$2,informatieblad!$B$2,IF(B81=informatieblad!$A$3,informatieblad!$B$3,IF(B81=informatieblad!$A$4,informatieblad!$B$4,IF(B81=informatieblad!$A$5,informatieblad!$B$5,"")))))))</f>
        <v/>
      </c>
      <c r="AX82" s="275" t="str">
        <f>IF(C81=informatieblad!$A$6,informatieblad!$B$6,IF(C81=informatieblad!$A$7,informatieblad!$B$7,IF(C81=informatieblad!$A$8,informatieblad!$B$8,IF(C81=informatieblad!$A$2,informatieblad!$B$2,IF(C81=informatieblad!$A$3,informatieblad!$B$3,IF(C81=informatieblad!$A$4,informatieblad!$B$4,IF(C81=informatieblad!$A$5,informatieblad!$B$5,"")))))))</f>
        <v/>
      </c>
      <c r="AY82" s="276">
        <f t="shared" ref="AY82" si="255">IF(AW82=AY80,(4*C82),0)</f>
        <v>0</v>
      </c>
      <c r="AZ82" s="276">
        <f t="shared" ref="AZ82" si="256">IF(AX82=AY80,(4*C82),0)</f>
        <v>0</v>
      </c>
      <c r="BA82" s="276">
        <f t="shared" ref="BA82" si="257">IF(AW82=BA80,(4*C82),0)</f>
        <v>0</v>
      </c>
      <c r="BB82" s="274">
        <f t="shared" ref="BB82" si="258">IF(AX82=BA80,(4*C82),0)</f>
        <v>0</v>
      </c>
      <c r="BC82" s="83"/>
      <c r="BD82" s="374">
        <v>5</v>
      </c>
      <c r="BE82">
        <f t="shared" ref="BE82" si="259">BD82*2.4</f>
        <v>12</v>
      </c>
    </row>
    <row r="83" spans="1:57" ht="5.0999999999999996" customHeight="1" thickBot="1">
      <c r="A83" s="88"/>
      <c r="B83" s="88"/>
      <c r="C83" s="88"/>
      <c r="D83" s="88"/>
      <c r="F83" s="88"/>
      <c r="G83" s="88"/>
      <c r="H83" s="88"/>
      <c r="I83" s="88"/>
      <c r="J83" s="83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83"/>
      <c r="AJ83" s="83"/>
      <c r="AK83" s="83"/>
      <c r="AL83" s="83"/>
      <c r="AM83" s="83"/>
      <c r="AN83" s="83"/>
      <c r="AO83" s="83"/>
      <c r="AP83" s="83"/>
      <c r="AQ83" s="64"/>
      <c r="AR83" s="83"/>
      <c r="AS83" s="64"/>
      <c r="AT83" s="64"/>
      <c r="AU83" s="83"/>
      <c r="AV83" s="64"/>
      <c r="AW83" s="83"/>
      <c r="AX83" s="83"/>
      <c r="AY83" s="83"/>
      <c r="AZ83" s="83"/>
      <c r="BA83" s="83"/>
      <c r="BB83" s="83"/>
      <c r="BC83" s="83"/>
    </row>
    <row r="84" spans="1:57" ht="15.75" customHeight="1" thickBot="1">
      <c r="A84" s="445"/>
      <c r="B84" s="96"/>
      <c r="C84" s="96"/>
      <c r="D84" s="96"/>
      <c r="E84" s="96"/>
      <c r="F84" s="421"/>
      <c r="G84" s="423" t="s">
        <v>181</v>
      </c>
      <c r="H84" s="424">
        <f>ROUND(((B84*C84)/1000000),2)</f>
        <v>0</v>
      </c>
      <c r="I84" s="425" t="s">
        <v>24</v>
      </c>
      <c r="J84" s="366" t="s">
        <v>20</v>
      </c>
      <c r="K84" s="64"/>
      <c r="L84" s="64"/>
      <c r="M84" s="97" t="s">
        <v>26</v>
      </c>
      <c r="N84" s="98" t="s">
        <v>27</v>
      </c>
      <c r="O84" s="98" t="s">
        <v>28</v>
      </c>
      <c r="P84" s="98" t="s">
        <v>27</v>
      </c>
      <c r="Q84" s="98" t="s">
        <v>28</v>
      </c>
      <c r="R84" s="98" t="s">
        <v>29</v>
      </c>
      <c r="S84" s="66" t="s">
        <v>30</v>
      </c>
      <c r="T84" s="99" t="s">
        <v>31</v>
      </c>
      <c r="U84" s="99"/>
      <c r="V84" s="99"/>
      <c r="W84" s="98" t="s">
        <v>32</v>
      </c>
      <c r="X84" s="98" t="s">
        <v>32</v>
      </c>
      <c r="Y84" s="98"/>
      <c r="Z84" s="98" t="s">
        <v>33</v>
      </c>
      <c r="AA84" s="100" t="s">
        <v>34</v>
      </c>
      <c r="AB84" s="98" t="s">
        <v>32</v>
      </c>
      <c r="AC84" s="98" t="s">
        <v>32</v>
      </c>
      <c r="AD84" s="98" t="s">
        <v>32</v>
      </c>
      <c r="AE84" s="98" t="s">
        <v>32</v>
      </c>
      <c r="AF84" s="98" t="s">
        <v>35</v>
      </c>
      <c r="AG84" s="101" t="s">
        <v>36</v>
      </c>
      <c r="AH84" s="64"/>
      <c r="AI84" s="97" t="str">
        <f>informatieblad!$A$6</f>
        <v>FL20</v>
      </c>
      <c r="AJ84" s="99"/>
      <c r="AK84" s="97" t="str">
        <f>informatieblad!$A$7</f>
        <v>FL30</v>
      </c>
      <c r="AL84" s="66"/>
      <c r="AM84" s="99" t="str">
        <f>informatieblad!$A$8</f>
        <v>FL40</v>
      </c>
      <c r="AN84" s="66"/>
      <c r="AO84" s="97" t="str">
        <f>informatieblad!$A$5</f>
        <v>none</v>
      </c>
      <c r="AP84" s="264"/>
      <c r="AQ84" s="64"/>
      <c r="AR84" s="266" t="s">
        <v>17</v>
      </c>
      <c r="AS84" s="64"/>
      <c r="AT84" s="64"/>
      <c r="AU84" s="266" t="s">
        <v>37</v>
      </c>
      <c r="AV84" s="64"/>
      <c r="AW84" s="269" t="s">
        <v>38</v>
      </c>
      <c r="AX84" s="272"/>
      <c r="AY84" s="272">
        <f>informatieblad!$B$3</f>
        <v>0</v>
      </c>
      <c r="AZ84" s="272">
        <f>informatieblad!$B$3</f>
        <v>0</v>
      </c>
      <c r="BA84" s="272">
        <f>informatieblad!$B$4</f>
        <v>0</v>
      </c>
      <c r="BB84" s="264">
        <f>informatieblad!$B$4</f>
        <v>0</v>
      </c>
      <c r="BC84" s="83"/>
      <c r="BD84" t="s">
        <v>182</v>
      </c>
    </row>
    <row r="85" spans="1:57" ht="15" customHeight="1">
      <c r="A85" s="467"/>
      <c r="B85" s="102" t="str">
        <f>IF($C86&gt;0,IF(MAX(B84:C84)&lt;informatieblad!$Q$4,informatieblad!$P$3,IF(MAX(B84:C84)&gt;informatieblad!$R$4,informatieblad!$P$5,informatieblad!$P$4)),"")</f>
        <v/>
      </c>
      <c r="C85" s="102" t="str">
        <f>IF($C86&gt;0,IF(MAX(B84:C84)&lt;informatieblad!$Q$4,informatieblad!$P$3,IF(MAX(B84:C84)&gt;informatieblad!$R$4,informatieblad!$P$5,informatieblad!$P$4)),"")</f>
        <v/>
      </c>
      <c r="D85" s="504"/>
      <c r="E85" s="527"/>
      <c r="F85" s="505" t="str">
        <f>A84&amp;"-"&amp;informatieblad!$B$21&amp;"-"&amp;B84&amp;"-"&amp;C84&amp;"-"&amp;D84&amp;"-"&amp;E84&amp;"-"&amp;B85&amp;"-"&amp;C85&amp;"-"&amp;G86</f>
        <v>-RctV-------Options None</v>
      </c>
      <c r="G85" s="528"/>
      <c r="H85" s="528"/>
      <c r="I85" s="529"/>
      <c r="J85" s="83"/>
      <c r="K85" s="64"/>
      <c r="L85" s="64"/>
      <c r="M85" s="103">
        <f t="shared" ref="M85" si="260">A84</f>
        <v>0</v>
      </c>
      <c r="N85" s="104" t="s">
        <v>39</v>
      </c>
      <c r="O85" s="104" t="s">
        <v>39</v>
      </c>
      <c r="P85" s="104" t="s">
        <v>40</v>
      </c>
      <c r="Q85" s="104" t="s">
        <v>40</v>
      </c>
      <c r="R85" s="104" t="s">
        <v>40</v>
      </c>
      <c r="S85" s="105"/>
      <c r="T85" s="106" t="s">
        <v>27</v>
      </c>
      <c r="U85" s="106" t="s">
        <v>40</v>
      </c>
      <c r="V85" s="106" t="s">
        <v>41</v>
      </c>
      <c r="W85" s="104" t="s">
        <v>42</v>
      </c>
      <c r="X85" s="104" t="s">
        <v>43</v>
      </c>
      <c r="Y85" s="104"/>
      <c r="Z85" s="104" t="s">
        <v>44</v>
      </c>
      <c r="AA85" s="107"/>
      <c r="AB85" s="104" t="s">
        <v>45</v>
      </c>
      <c r="AC85" s="104" t="s">
        <v>42</v>
      </c>
      <c r="AD85" s="104" t="s">
        <v>43</v>
      </c>
      <c r="AE85" s="104" t="s">
        <v>46</v>
      </c>
      <c r="AF85" s="108"/>
      <c r="AG85" s="109"/>
      <c r="AH85" s="64"/>
      <c r="AI85" s="262" t="str">
        <f>informatieblad!$A$2</f>
        <v>FL20 loose</v>
      </c>
      <c r="AJ85" s="263"/>
      <c r="AK85" s="262" t="str">
        <f>informatieblad!$A$3</f>
        <v>FL30 loose</v>
      </c>
      <c r="AL85" s="105"/>
      <c r="AM85" s="263" t="str">
        <f>informatieblad!$A$4</f>
        <v>FL40 loose</v>
      </c>
      <c r="AN85" s="105"/>
      <c r="AO85" s="265"/>
      <c r="AP85" s="105"/>
      <c r="AQ85" s="64"/>
      <c r="AR85" s="267"/>
      <c r="AS85" s="64"/>
      <c r="AT85" s="83" t="str">
        <f>'UC mounting materials '!$B$10</f>
        <v>Rail 30x15</v>
      </c>
      <c r="AU85" s="327">
        <f t="shared" ref="AU85" si="261">IF(Z86&lt;1000,(Z86+100),0)*C86</f>
        <v>0</v>
      </c>
      <c r="AV85" s="64"/>
      <c r="AW85" s="265" t="s">
        <v>47</v>
      </c>
      <c r="AX85" s="106" t="s">
        <v>48</v>
      </c>
      <c r="AY85" s="83" t="s">
        <v>23</v>
      </c>
      <c r="AZ85" s="83" t="s">
        <v>23</v>
      </c>
      <c r="BA85" s="83" t="s">
        <v>23</v>
      </c>
      <c r="BB85" s="273" t="s">
        <v>23</v>
      </c>
      <c r="BC85" s="83"/>
      <c r="BD85" t="s">
        <v>40</v>
      </c>
      <c r="BE85" s="83" t="s">
        <v>41</v>
      </c>
    </row>
    <row r="86" spans="1:57" ht="15.75" customHeight="1" thickBot="1">
      <c r="A86" s="468"/>
      <c r="B86" s="371" t="s">
        <v>23</v>
      </c>
      <c r="C86" s="412"/>
      <c r="D86" s="94">
        <f>C86*O86</f>
        <v>0</v>
      </c>
      <c r="E86" s="422" t="s">
        <v>24</v>
      </c>
      <c r="F86" s="93"/>
      <c r="G86" s="451" t="s">
        <v>25</v>
      </c>
      <c r="H86" s="530"/>
      <c r="I86" s="531"/>
      <c r="J86" s="83"/>
      <c r="K86" s="64"/>
      <c r="L86" s="64"/>
      <c r="M86" s="111"/>
      <c r="N86" s="112">
        <f t="shared" ref="N86" si="262">(((2*(B84+C84))*D84)/1000000)+(((B84-10)*(C84-10))/1000000)</f>
        <v>1E-4</v>
      </c>
      <c r="O86" s="112">
        <f>((IF(N86&lt;=informatieblad!$I$12,informatieblad!$I$12,IF(N86&gt;=informatieblad!$I$12,N86))))</f>
        <v>0.5</v>
      </c>
      <c r="P86" s="112">
        <f t="shared" ref="P86" si="263">(((2*B84)+(2*C84))*D84)/1000000+(((B84-10)*(C84-10))/1000000)</f>
        <v>1E-4</v>
      </c>
      <c r="Q86" s="112">
        <f>((IF(P86&lt;=informatieblad!$H$12,informatieblad!$H$12,IF(P86&gt;=informatieblad!$H$12,P86))))</f>
        <v>1E-4</v>
      </c>
      <c r="R86" s="113">
        <f t="shared" ref="R86" si="264">(((Q86*X86)+(Q86*U86))*C86)+BD86</f>
        <v>5</v>
      </c>
      <c r="S86" s="114">
        <f t="shared" ref="S86" si="265">(((O86*W86)+(O86*V86))*C86)+(BE86)</f>
        <v>12</v>
      </c>
      <c r="T86" s="115" t="str">
        <f t="shared" ref="T86" si="266">G86</f>
        <v>Options None</v>
      </c>
      <c r="U86" s="116">
        <f>VLOOKUP(G86,informatieblad!$A$37:$D$41,2,FALSE)</f>
        <v>0</v>
      </c>
      <c r="V86" s="116">
        <f>VLOOKUP(G86,informatieblad!$A$37:$D$41,4,FALSE)</f>
        <v>0</v>
      </c>
      <c r="W86" s="117">
        <f t="shared" ref="W86" si="267">((IF(D84&lt;=900,AC86,IF(D84&gt;=900,AE86))))</f>
        <v>45.1248</v>
      </c>
      <c r="X86" s="118">
        <f t="shared" ref="X86" si="268">((IF(D84&lt;=900,AB86,IF(D84&gt;=900,AD86))))</f>
        <v>0</v>
      </c>
      <c r="Y86" s="119"/>
      <c r="Z86" s="119">
        <f t="shared" ref="Z86" si="269">(MAX(B84:C84))</f>
        <v>0</v>
      </c>
      <c r="AA86" s="119">
        <f>LOOKUP(Z86,informatieblad!$C$27:$C$32,informatieblad!$A$27:$A$32)</f>
        <v>0.5</v>
      </c>
      <c r="AB86" s="118">
        <f>VLOOKUP(AA86,informatieblad!$A$27:$M$32,6,FALSE)</f>
        <v>0</v>
      </c>
      <c r="AC86" s="118">
        <f>VLOOKUP(AA86,informatieblad!$A$27:$M$32,8,FALSE)</f>
        <v>45.1248</v>
      </c>
      <c r="AD86" s="118">
        <f>VLOOKUP(AA86,informatieblad!$A$27:$M$32,9,FALSE)</f>
        <v>0</v>
      </c>
      <c r="AE86" s="118">
        <f>VLOOKUP(AA86,informatieblad!$A$27:$M$32,11,FALSE)</f>
        <v>32.463200000000001</v>
      </c>
      <c r="AF86" s="120">
        <f>VLOOKUP(AA86,informatieblad!$A$27:$M$32,13,FALSE)</f>
        <v>4</v>
      </c>
      <c r="AG86" s="121">
        <f t="shared" ref="AG86" si="270">ROUND((AF86*P86),1)</f>
        <v>0</v>
      </c>
      <c r="AH86" s="64"/>
      <c r="AI86" s="111">
        <f t="shared" ref="AI86" si="271">(IF(B85=AI84,((2*B84)+(2*C84)),IF(B85=AI85,((2*B84)+(2*C84)),0)))*C86</f>
        <v>0</v>
      </c>
      <c r="AJ86" s="261">
        <f t="shared" ref="AJ86" si="272">(IF(C85=AI84,((2*B84)+(2*C84)),IF(C85=AI85,((2*B84)+(2*C84)),0)))*C86</f>
        <v>0</v>
      </c>
      <c r="AK86" s="111">
        <f t="shared" ref="AK86" si="273">(IF(B85=AK84,((2*B84)+(2*C84)),IF(B85=AK85,((2*B84)+(2*C84)),0)))*C86</f>
        <v>0</v>
      </c>
      <c r="AL86" s="260">
        <f t="shared" ref="AL86" si="274">(IF(C85=AK84,((2*B84)+(2*C84)),IF(C85=AK85,((2*B84)+(2*C84)),0)))*C86</f>
        <v>0</v>
      </c>
      <c r="AM86" s="261">
        <f t="shared" ref="AM86" si="275">(IF(B85=AM84,((2*B84)+(2*C84)),IF(B85=AM85,((2*B84)+(2*C84)),0)))*C86</f>
        <v>0</v>
      </c>
      <c r="AN86" s="260">
        <f t="shared" ref="AN86" si="276">(IF(C85=AM84,((2*B84)+(2*C84)),IF(C85=AM85,((2*B84)+(2*C84)),0)))*C86</f>
        <v>0</v>
      </c>
      <c r="AO86" s="111">
        <f t="shared" ref="AO86" si="277">(IF(B85=AO84,((2*B84)+(2*C84)),0))*C86</f>
        <v>0</v>
      </c>
      <c r="AP86" s="260">
        <f t="shared" ref="AP86" si="278">(IF(C85=AO84,((2*B84)+(2*C84)),0))*C86</f>
        <v>0</v>
      </c>
      <c r="AQ86" s="64"/>
      <c r="AR86" s="268">
        <f t="shared" ref="AR86" si="279">D84*C86</f>
        <v>0</v>
      </c>
      <c r="AS86" s="64"/>
      <c r="AT86" s="83" t="str">
        <f>'UC mounting materials '!$B$11</f>
        <v>Rail 41x41</v>
      </c>
      <c r="AU86" s="268">
        <f t="shared" ref="AU86" si="280">IF(Z86&gt;999,(Z86+100),0)*C86</f>
        <v>0</v>
      </c>
      <c r="AV86" s="64"/>
      <c r="AW86" s="111" t="str">
        <f>IF(B85=informatieblad!$A$6,informatieblad!$B$6,IF(B85=informatieblad!$A$7,informatieblad!$B$7,IF(B85=informatieblad!$A$8,informatieblad!$B$8,IF(B85=informatieblad!$A$2,informatieblad!$B$2,IF(B85=informatieblad!$A$3,informatieblad!$B$3,IF(B85=informatieblad!$A$4,informatieblad!$B$4,IF(B85=informatieblad!$A$5,informatieblad!$B$5,"")))))))</f>
        <v/>
      </c>
      <c r="AX86" s="275" t="str">
        <f>IF(C85=informatieblad!$A$6,informatieblad!$B$6,IF(C85=informatieblad!$A$7,informatieblad!$B$7,IF(C85=informatieblad!$A$8,informatieblad!$B$8,IF(C85=informatieblad!$A$2,informatieblad!$B$2,IF(C85=informatieblad!$A$3,informatieblad!$B$3,IF(C85=informatieblad!$A$4,informatieblad!$B$4,IF(C85=informatieblad!$A$5,informatieblad!$B$5,"")))))))</f>
        <v/>
      </c>
      <c r="AY86" s="276">
        <f t="shared" ref="AY86" si="281">IF(AW86=AY84,(4*C86),0)</f>
        <v>0</v>
      </c>
      <c r="AZ86" s="276">
        <f t="shared" ref="AZ86" si="282">IF(AX86=AY84,(4*C86),0)</f>
        <v>0</v>
      </c>
      <c r="BA86" s="276">
        <f t="shared" ref="BA86" si="283">IF(AW86=BA84,(4*C86),0)</f>
        <v>0</v>
      </c>
      <c r="BB86" s="274">
        <f t="shared" ref="BB86" si="284">IF(AX86=BA84,(4*C86),0)</f>
        <v>0</v>
      </c>
      <c r="BC86" s="83"/>
      <c r="BD86" s="374">
        <v>5</v>
      </c>
      <c r="BE86">
        <f t="shared" ref="BE86" si="285">BD86*2.4</f>
        <v>12</v>
      </c>
    </row>
    <row r="87" spans="1:57" ht="5.0999999999999996" customHeight="1" thickBot="1">
      <c r="A87" s="88"/>
      <c r="B87" s="88"/>
      <c r="C87" s="88"/>
      <c r="D87" s="88"/>
      <c r="F87" s="88"/>
      <c r="G87" s="88"/>
      <c r="H87" s="88"/>
      <c r="I87" s="88"/>
      <c r="J87" s="83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83"/>
      <c r="AJ87" s="83"/>
      <c r="AK87" s="83"/>
      <c r="AL87" s="83"/>
      <c r="AM87" s="83"/>
      <c r="AN87" s="83"/>
      <c r="AO87" s="83"/>
      <c r="AP87" s="83"/>
      <c r="AQ87" s="64"/>
      <c r="AR87" s="83"/>
      <c r="AS87" s="64"/>
      <c r="AT87" s="64"/>
      <c r="AU87" s="83"/>
      <c r="AV87" s="64"/>
      <c r="AW87" s="83"/>
      <c r="AX87" s="83"/>
      <c r="AY87" s="83"/>
      <c r="AZ87" s="83"/>
      <c r="BA87" s="83"/>
      <c r="BB87" s="83"/>
      <c r="BC87" s="83"/>
    </row>
    <row r="88" spans="1:57" ht="15.75" customHeight="1" thickBot="1">
      <c r="A88" s="445"/>
      <c r="B88" s="96"/>
      <c r="C88" s="96"/>
      <c r="D88" s="96"/>
      <c r="E88" s="96"/>
      <c r="F88" s="421"/>
      <c r="G88" s="423" t="s">
        <v>181</v>
      </c>
      <c r="H88" s="424">
        <f>ROUND(((B88*C88)/1000000),2)</f>
        <v>0</v>
      </c>
      <c r="I88" s="425" t="s">
        <v>24</v>
      </c>
      <c r="J88" s="366" t="s">
        <v>20</v>
      </c>
      <c r="K88" s="64"/>
      <c r="L88" s="64"/>
      <c r="M88" s="97" t="s">
        <v>26</v>
      </c>
      <c r="N88" s="98" t="s">
        <v>27</v>
      </c>
      <c r="O88" s="98" t="s">
        <v>28</v>
      </c>
      <c r="P88" s="98" t="s">
        <v>27</v>
      </c>
      <c r="Q88" s="98" t="s">
        <v>28</v>
      </c>
      <c r="R88" s="98" t="s">
        <v>29</v>
      </c>
      <c r="S88" s="66" t="s">
        <v>30</v>
      </c>
      <c r="T88" s="99" t="s">
        <v>31</v>
      </c>
      <c r="U88" s="99"/>
      <c r="V88" s="99"/>
      <c r="W88" s="98" t="s">
        <v>32</v>
      </c>
      <c r="X88" s="98" t="s">
        <v>32</v>
      </c>
      <c r="Y88" s="98"/>
      <c r="Z88" s="98" t="s">
        <v>33</v>
      </c>
      <c r="AA88" s="100" t="s">
        <v>34</v>
      </c>
      <c r="AB88" s="98" t="s">
        <v>32</v>
      </c>
      <c r="AC88" s="98" t="s">
        <v>32</v>
      </c>
      <c r="AD88" s="98" t="s">
        <v>32</v>
      </c>
      <c r="AE88" s="98" t="s">
        <v>32</v>
      </c>
      <c r="AF88" s="98" t="s">
        <v>35</v>
      </c>
      <c r="AG88" s="101" t="s">
        <v>36</v>
      </c>
      <c r="AH88" s="64"/>
      <c r="AI88" s="97" t="str">
        <f>informatieblad!$A$6</f>
        <v>FL20</v>
      </c>
      <c r="AJ88" s="99"/>
      <c r="AK88" s="97" t="str">
        <f>informatieblad!$A$7</f>
        <v>FL30</v>
      </c>
      <c r="AL88" s="66"/>
      <c r="AM88" s="99" t="str">
        <f>informatieblad!$A$8</f>
        <v>FL40</v>
      </c>
      <c r="AN88" s="66"/>
      <c r="AO88" s="97" t="str">
        <f>informatieblad!$A$5</f>
        <v>none</v>
      </c>
      <c r="AP88" s="264"/>
      <c r="AQ88" s="64"/>
      <c r="AR88" s="266" t="s">
        <v>17</v>
      </c>
      <c r="AS88" s="64"/>
      <c r="AT88" s="64"/>
      <c r="AU88" s="266" t="s">
        <v>37</v>
      </c>
      <c r="AV88" s="64"/>
      <c r="AW88" s="269" t="s">
        <v>38</v>
      </c>
      <c r="AX88" s="272"/>
      <c r="AY88" s="272">
        <f>informatieblad!$B$3</f>
        <v>0</v>
      </c>
      <c r="AZ88" s="272">
        <f>informatieblad!$B$3</f>
        <v>0</v>
      </c>
      <c r="BA88" s="272">
        <f>informatieblad!$B$4</f>
        <v>0</v>
      </c>
      <c r="BB88" s="264">
        <f>informatieblad!$B$4</f>
        <v>0</v>
      </c>
      <c r="BC88" s="83"/>
      <c r="BD88" t="s">
        <v>182</v>
      </c>
    </row>
    <row r="89" spans="1:57" ht="15" customHeight="1">
      <c r="A89" s="467"/>
      <c r="B89" s="102" t="str">
        <f>IF($C90&gt;0,IF(MAX(B88:C88)&lt;informatieblad!$Q$4,informatieblad!$P$3,IF(MAX(B88:C88)&gt;informatieblad!$R$4,informatieblad!$P$5,informatieblad!$P$4)),"")</f>
        <v/>
      </c>
      <c r="C89" s="102" t="str">
        <f>IF($C90&gt;0,IF(MAX(B88:C88)&lt;informatieblad!$Q$4,informatieblad!$P$3,IF(MAX(B88:C88)&gt;informatieblad!$R$4,informatieblad!$P$5,informatieblad!$P$4)),"")</f>
        <v/>
      </c>
      <c r="D89" s="504"/>
      <c r="E89" s="527"/>
      <c r="F89" s="505" t="str">
        <f>A88&amp;"-"&amp;informatieblad!$B$21&amp;"-"&amp;B88&amp;"-"&amp;C88&amp;"-"&amp;D88&amp;"-"&amp;E88&amp;"-"&amp;B89&amp;"-"&amp;C89&amp;"-"&amp;G90</f>
        <v>-RctV-------Options None</v>
      </c>
      <c r="G89" s="528"/>
      <c r="H89" s="528"/>
      <c r="I89" s="529"/>
      <c r="J89" s="83"/>
      <c r="K89" s="64"/>
      <c r="L89" s="64"/>
      <c r="M89" s="103">
        <f t="shared" ref="M89" si="286">A88</f>
        <v>0</v>
      </c>
      <c r="N89" s="104" t="s">
        <v>39</v>
      </c>
      <c r="O89" s="104" t="s">
        <v>39</v>
      </c>
      <c r="P89" s="104" t="s">
        <v>40</v>
      </c>
      <c r="Q89" s="104" t="s">
        <v>40</v>
      </c>
      <c r="R89" s="104" t="s">
        <v>40</v>
      </c>
      <c r="S89" s="105"/>
      <c r="T89" s="106" t="s">
        <v>27</v>
      </c>
      <c r="U89" s="106" t="s">
        <v>40</v>
      </c>
      <c r="V89" s="106" t="s">
        <v>41</v>
      </c>
      <c r="W89" s="104" t="s">
        <v>42</v>
      </c>
      <c r="X89" s="104" t="s">
        <v>43</v>
      </c>
      <c r="Y89" s="104"/>
      <c r="Z89" s="104" t="s">
        <v>44</v>
      </c>
      <c r="AA89" s="107"/>
      <c r="AB89" s="104" t="s">
        <v>45</v>
      </c>
      <c r="AC89" s="104" t="s">
        <v>42</v>
      </c>
      <c r="AD89" s="104" t="s">
        <v>43</v>
      </c>
      <c r="AE89" s="104" t="s">
        <v>46</v>
      </c>
      <c r="AF89" s="108"/>
      <c r="AG89" s="109"/>
      <c r="AH89" s="64"/>
      <c r="AI89" s="262" t="str">
        <f>informatieblad!$A$2</f>
        <v>FL20 loose</v>
      </c>
      <c r="AJ89" s="263"/>
      <c r="AK89" s="262" t="str">
        <f>informatieblad!$A$3</f>
        <v>FL30 loose</v>
      </c>
      <c r="AL89" s="105"/>
      <c r="AM89" s="263" t="str">
        <f>informatieblad!$A$4</f>
        <v>FL40 loose</v>
      </c>
      <c r="AN89" s="105"/>
      <c r="AO89" s="265"/>
      <c r="AP89" s="105"/>
      <c r="AQ89" s="64"/>
      <c r="AR89" s="267"/>
      <c r="AS89" s="64"/>
      <c r="AT89" s="83" t="str">
        <f>'UC mounting materials '!$B$10</f>
        <v>Rail 30x15</v>
      </c>
      <c r="AU89" s="327">
        <f t="shared" ref="AU89" si="287">IF(Z90&lt;1000,(Z90+100),0)*C90</f>
        <v>0</v>
      </c>
      <c r="AV89" s="64"/>
      <c r="AW89" s="265" t="s">
        <v>47</v>
      </c>
      <c r="AX89" s="106" t="s">
        <v>48</v>
      </c>
      <c r="AY89" s="83" t="s">
        <v>23</v>
      </c>
      <c r="AZ89" s="83" t="s">
        <v>23</v>
      </c>
      <c r="BA89" s="83" t="s">
        <v>23</v>
      </c>
      <c r="BB89" s="273" t="s">
        <v>23</v>
      </c>
      <c r="BC89" s="83"/>
      <c r="BD89" t="s">
        <v>40</v>
      </c>
      <c r="BE89" s="83" t="s">
        <v>41</v>
      </c>
    </row>
    <row r="90" spans="1:57" ht="15.75" customHeight="1" thickBot="1">
      <c r="A90" s="468"/>
      <c r="B90" s="371" t="s">
        <v>23</v>
      </c>
      <c r="C90" s="412"/>
      <c r="D90" s="94">
        <f>C90*O90</f>
        <v>0</v>
      </c>
      <c r="E90" s="422" t="s">
        <v>24</v>
      </c>
      <c r="F90" s="93"/>
      <c r="G90" s="451" t="s">
        <v>25</v>
      </c>
      <c r="H90" s="530"/>
      <c r="I90" s="531"/>
      <c r="J90" s="83"/>
      <c r="K90" s="64"/>
      <c r="L90" s="64"/>
      <c r="M90" s="111"/>
      <c r="N90" s="112">
        <f t="shared" ref="N90" si="288">(((2*(B88+C88))*D88)/1000000)+(((B88-10)*(C88-10))/1000000)</f>
        <v>1E-4</v>
      </c>
      <c r="O90" s="112">
        <f>((IF(N90&lt;=informatieblad!$I$12,informatieblad!$I$12,IF(N90&gt;=informatieblad!$I$12,N90))))</f>
        <v>0.5</v>
      </c>
      <c r="P90" s="112">
        <f t="shared" ref="P90" si="289">(((2*B88)+(2*C88))*D88)/1000000+(((B88-10)*(C88-10))/1000000)</f>
        <v>1E-4</v>
      </c>
      <c r="Q90" s="112">
        <f>((IF(P90&lt;=informatieblad!$H$12,informatieblad!$H$12,IF(P90&gt;=informatieblad!$H$12,P90))))</f>
        <v>1E-4</v>
      </c>
      <c r="R90" s="113">
        <f t="shared" ref="R90" si="290">(((Q90*X90)+(Q90*U90))*C90)+BD90</f>
        <v>5</v>
      </c>
      <c r="S90" s="114">
        <f t="shared" ref="S90" si="291">(((O90*W90)+(O90*V90))*C90)+(BE90)</f>
        <v>12</v>
      </c>
      <c r="T90" s="115" t="str">
        <f t="shared" ref="T90" si="292">G90</f>
        <v>Options None</v>
      </c>
      <c r="U90" s="116">
        <f>VLOOKUP(G90,informatieblad!$A$37:$D$41,2,FALSE)</f>
        <v>0</v>
      </c>
      <c r="V90" s="116">
        <f>VLOOKUP(G90,informatieblad!$A$37:$D$41,4,FALSE)</f>
        <v>0</v>
      </c>
      <c r="W90" s="117">
        <f t="shared" ref="W90" si="293">((IF(D88&lt;=900,AC90,IF(D88&gt;=900,AE90))))</f>
        <v>45.1248</v>
      </c>
      <c r="X90" s="118">
        <f t="shared" ref="X90" si="294">((IF(D88&lt;=900,AB90,IF(D88&gt;=900,AD90))))</f>
        <v>0</v>
      </c>
      <c r="Y90" s="119"/>
      <c r="Z90" s="119">
        <f t="shared" ref="Z90" si="295">(MAX(B88:C88))</f>
        <v>0</v>
      </c>
      <c r="AA90" s="119">
        <f>LOOKUP(Z90,informatieblad!$C$27:$C$32,informatieblad!$A$27:$A$32)</f>
        <v>0.5</v>
      </c>
      <c r="AB90" s="118">
        <f>VLOOKUP(AA90,informatieblad!$A$27:$M$32,6,FALSE)</f>
        <v>0</v>
      </c>
      <c r="AC90" s="118">
        <f>VLOOKUP(AA90,informatieblad!$A$27:$M$32,8,FALSE)</f>
        <v>45.1248</v>
      </c>
      <c r="AD90" s="118">
        <f>VLOOKUP(AA90,informatieblad!$A$27:$M$32,9,FALSE)</f>
        <v>0</v>
      </c>
      <c r="AE90" s="118">
        <f>VLOOKUP(AA90,informatieblad!$A$27:$M$32,11,FALSE)</f>
        <v>32.463200000000001</v>
      </c>
      <c r="AF90" s="120">
        <f>VLOOKUP(AA90,informatieblad!$A$27:$M$32,13,FALSE)</f>
        <v>4</v>
      </c>
      <c r="AG90" s="121">
        <f t="shared" ref="AG90" si="296">ROUND((AF90*P90),1)</f>
        <v>0</v>
      </c>
      <c r="AH90" s="64"/>
      <c r="AI90" s="111">
        <f t="shared" ref="AI90" si="297">(IF(B89=AI88,((2*B88)+(2*C88)),IF(B89=AI89,((2*B88)+(2*C88)),0)))*C90</f>
        <v>0</v>
      </c>
      <c r="AJ90" s="261">
        <f t="shared" ref="AJ90" si="298">(IF(C89=AI88,((2*B88)+(2*C88)),IF(C89=AI89,((2*B88)+(2*C88)),0)))*C90</f>
        <v>0</v>
      </c>
      <c r="AK90" s="111">
        <f t="shared" ref="AK90" si="299">(IF(B89=AK88,((2*B88)+(2*C88)),IF(B89=AK89,((2*B88)+(2*C88)),0)))*C90</f>
        <v>0</v>
      </c>
      <c r="AL90" s="260">
        <f t="shared" ref="AL90" si="300">(IF(C89=AK88,((2*B88)+(2*C88)),IF(C89=AK89,((2*B88)+(2*C88)),0)))*C90</f>
        <v>0</v>
      </c>
      <c r="AM90" s="261">
        <f t="shared" ref="AM90" si="301">(IF(B89=AM88,((2*B88)+(2*C88)),IF(B89=AM89,((2*B88)+(2*C88)),0)))*C90</f>
        <v>0</v>
      </c>
      <c r="AN90" s="260">
        <f t="shared" ref="AN90" si="302">(IF(C89=AM88,((2*B88)+(2*C88)),IF(C89=AM89,((2*B88)+(2*C88)),0)))*C90</f>
        <v>0</v>
      </c>
      <c r="AO90" s="111">
        <f t="shared" ref="AO90" si="303">(IF(B89=AO88,((2*B88)+(2*C88)),0))*C90</f>
        <v>0</v>
      </c>
      <c r="AP90" s="260">
        <f t="shared" ref="AP90" si="304">(IF(C89=AO88,((2*B88)+(2*C88)),0))*C90</f>
        <v>0</v>
      </c>
      <c r="AQ90" s="64"/>
      <c r="AR90" s="268">
        <f t="shared" ref="AR90" si="305">D88*C90</f>
        <v>0</v>
      </c>
      <c r="AS90" s="64"/>
      <c r="AT90" s="83" t="str">
        <f>'UC mounting materials '!$B$11</f>
        <v>Rail 41x41</v>
      </c>
      <c r="AU90" s="268">
        <f t="shared" ref="AU90" si="306">IF(Z90&gt;999,(Z90+100),0)*C90</f>
        <v>0</v>
      </c>
      <c r="AV90" s="64"/>
      <c r="AW90" s="111" t="str">
        <f>IF(B89=informatieblad!$A$6,informatieblad!$B$6,IF(B89=informatieblad!$A$7,informatieblad!$B$7,IF(B89=informatieblad!$A$8,informatieblad!$B$8,IF(B89=informatieblad!$A$2,informatieblad!$B$2,IF(B89=informatieblad!$A$3,informatieblad!$B$3,IF(B89=informatieblad!$A$4,informatieblad!$B$4,IF(B89=informatieblad!$A$5,informatieblad!$B$5,"")))))))</f>
        <v/>
      </c>
      <c r="AX90" s="275" t="str">
        <f>IF(C89=informatieblad!$A$6,informatieblad!$B$6,IF(C89=informatieblad!$A$7,informatieblad!$B$7,IF(C89=informatieblad!$A$8,informatieblad!$B$8,IF(C89=informatieblad!$A$2,informatieblad!$B$2,IF(C89=informatieblad!$A$3,informatieblad!$B$3,IF(C89=informatieblad!$A$4,informatieblad!$B$4,IF(C89=informatieblad!$A$5,informatieblad!$B$5,"")))))))</f>
        <v/>
      </c>
      <c r="AY90" s="276">
        <f t="shared" ref="AY90" si="307">IF(AW90=AY88,(4*C90),0)</f>
        <v>0</v>
      </c>
      <c r="AZ90" s="276">
        <f t="shared" ref="AZ90" si="308">IF(AX90=AY88,(4*C90),0)</f>
        <v>0</v>
      </c>
      <c r="BA90" s="276">
        <f t="shared" ref="BA90" si="309">IF(AW90=BA88,(4*C90),0)</f>
        <v>0</v>
      </c>
      <c r="BB90" s="274">
        <f t="shared" ref="BB90" si="310">IF(AX90=BA88,(4*C90),0)</f>
        <v>0</v>
      </c>
      <c r="BC90" s="83"/>
      <c r="BD90" s="374">
        <v>5</v>
      </c>
      <c r="BE90">
        <f t="shared" ref="BE90" si="311">BD90*2.4</f>
        <v>12</v>
      </c>
    </row>
    <row r="91" spans="1:57" ht="5.0999999999999996" customHeight="1" thickBot="1">
      <c r="A91" s="88"/>
      <c r="B91" s="88"/>
      <c r="C91" s="88"/>
      <c r="D91" s="88"/>
      <c r="F91" s="88"/>
      <c r="G91" s="88"/>
      <c r="H91" s="88"/>
      <c r="I91" s="88"/>
      <c r="J91" s="83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83"/>
      <c r="AJ91" s="83"/>
      <c r="AK91" s="83"/>
      <c r="AL91" s="83"/>
      <c r="AM91" s="83"/>
      <c r="AN91" s="83"/>
      <c r="AO91" s="83"/>
      <c r="AP91" s="83"/>
      <c r="AQ91" s="64"/>
      <c r="AR91" s="83"/>
      <c r="AS91" s="64"/>
      <c r="AT91" s="64"/>
      <c r="AU91" s="83"/>
      <c r="AV91" s="64"/>
      <c r="AW91" s="83"/>
      <c r="AX91" s="83"/>
      <c r="AY91" s="83"/>
      <c r="AZ91" s="83"/>
      <c r="BA91" s="83"/>
      <c r="BB91" s="83"/>
      <c r="BC91" s="83"/>
    </row>
    <row r="92" spans="1:57" ht="15.75" customHeight="1" thickBot="1">
      <c r="A92" s="445"/>
      <c r="B92" s="96"/>
      <c r="C92" s="96"/>
      <c r="D92" s="96"/>
      <c r="E92" s="96"/>
      <c r="F92" s="421"/>
      <c r="G92" s="423" t="s">
        <v>181</v>
      </c>
      <c r="H92" s="424">
        <f>ROUND(((B92*C92)/1000000),2)</f>
        <v>0</v>
      </c>
      <c r="I92" s="425" t="s">
        <v>24</v>
      </c>
      <c r="J92" s="366" t="s">
        <v>20</v>
      </c>
      <c r="K92" s="64"/>
      <c r="L92" s="64"/>
      <c r="M92" s="97" t="s">
        <v>26</v>
      </c>
      <c r="N92" s="98" t="s">
        <v>27</v>
      </c>
      <c r="O92" s="98" t="s">
        <v>28</v>
      </c>
      <c r="P92" s="98" t="s">
        <v>27</v>
      </c>
      <c r="Q92" s="98" t="s">
        <v>28</v>
      </c>
      <c r="R92" s="98" t="s">
        <v>29</v>
      </c>
      <c r="S92" s="66" t="s">
        <v>30</v>
      </c>
      <c r="T92" s="99" t="s">
        <v>31</v>
      </c>
      <c r="U92" s="99"/>
      <c r="V92" s="99"/>
      <c r="W92" s="98" t="s">
        <v>32</v>
      </c>
      <c r="X92" s="98" t="s">
        <v>32</v>
      </c>
      <c r="Y92" s="98"/>
      <c r="Z92" s="98" t="s">
        <v>33</v>
      </c>
      <c r="AA92" s="100" t="s">
        <v>34</v>
      </c>
      <c r="AB92" s="98" t="s">
        <v>32</v>
      </c>
      <c r="AC92" s="98" t="s">
        <v>32</v>
      </c>
      <c r="AD92" s="98" t="s">
        <v>32</v>
      </c>
      <c r="AE92" s="98" t="s">
        <v>32</v>
      </c>
      <c r="AF92" s="98" t="s">
        <v>35</v>
      </c>
      <c r="AG92" s="101" t="s">
        <v>36</v>
      </c>
      <c r="AH92" s="64"/>
      <c r="AI92" s="97" t="str">
        <f>informatieblad!$A$6</f>
        <v>FL20</v>
      </c>
      <c r="AJ92" s="99"/>
      <c r="AK92" s="97" t="str">
        <f>informatieblad!$A$7</f>
        <v>FL30</v>
      </c>
      <c r="AL92" s="66"/>
      <c r="AM92" s="99" t="str">
        <f>informatieblad!$A$8</f>
        <v>FL40</v>
      </c>
      <c r="AN92" s="66"/>
      <c r="AO92" s="97" t="str">
        <f>informatieblad!$A$5</f>
        <v>none</v>
      </c>
      <c r="AP92" s="264"/>
      <c r="AQ92" s="64"/>
      <c r="AR92" s="266" t="s">
        <v>17</v>
      </c>
      <c r="AS92" s="64"/>
      <c r="AT92" s="64"/>
      <c r="AU92" s="266" t="s">
        <v>37</v>
      </c>
      <c r="AV92" s="64"/>
      <c r="AW92" s="269" t="s">
        <v>38</v>
      </c>
      <c r="AX92" s="272"/>
      <c r="AY92" s="272">
        <f>informatieblad!$B$3</f>
        <v>0</v>
      </c>
      <c r="AZ92" s="272">
        <f>informatieblad!$B$3</f>
        <v>0</v>
      </c>
      <c r="BA92" s="272">
        <f>informatieblad!$B$4</f>
        <v>0</v>
      </c>
      <c r="BB92" s="264">
        <f>informatieblad!$B$4</f>
        <v>0</v>
      </c>
      <c r="BC92" s="83"/>
      <c r="BD92" t="s">
        <v>182</v>
      </c>
    </row>
    <row r="93" spans="1:57" ht="15" customHeight="1">
      <c r="A93" s="467"/>
      <c r="B93" s="102" t="str">
        <f>IF($C94&gt;0,IF(MAX(B92:C92)&lt;informatieblad!$Q$4,informatieblad!$P$3,IF(MAX(B92:C92)&gt;informatieblad!$R$4,informatieblad!$P$5,informatieblad!$P$4)),"")</f>
        <v/>
      </c>
      <c r="C93" s="102" t="str">
        <f>IF($C94&gt;0,IF(MAX(B92:C92)&lt;informatieblad!$Q$4,informatieblad!$P$3,IF(MAX(B92:C92)&gt;informatieblad!$R$4,informatieblad!$P$5,informatieblad!$P$4)),"")</f>
        <v/>
      </c>
      <c r="D93" s="504"/>
      <c r="E93" s="527"/>
      <c r="F93" s="505" t="str">
        <f>A92&amp;"-"&amp;informatieblad!$B$21&amp;"-"&amp;B92&amp;"-"&amp;C92&amp;"-"&amp;D92&amp;"-"&amp;E92&amp;"-"&amp;B93&amp;"-"&amp;C93&amp;"-"&amp;G94</f>
        <v>-RctV-------Options None</v>
      </c>
      <c r="G93" s="528"/>
      <c r="H93" s="528"/>
      <c r="I93" s="529"/>
      <c r="J93" s="83"/>
      <c r="K93" s="64"/>
      <c r="L93" s="64"/>
      <c r="M93" s="103">
        <f>A92</f>
        <v>0</v>
      </c>
      <c r="N93" s="104" t="s">
        <v>39</v>
      </c>
      <c r="O93" s="104" t="s">
        <v>39</v>
      </c>
      <c r="P93" s="104" t="s">
        <v>40</v>
      </c>
      <c r="Q93" s="104" t="s">
        <v>40</v>
      </c>
      <c r="R93" s="104" t="s">
        <v>40</v>
      </c>
      <c r="S93" s="105"/>
      <c r="T93" s="106" t="s">
        <v>27</v>
      </c>
      <c r="U93" s="106" t="s">
        <v>40</v>
      </c>
      <c r="V93" s="106" t="s">
        <v>41</v>
      </c>
      <c r="W93" s="104" t="s">
        <v>42</v>
      </c>
      <c r="X93" s="104" t="s">
        <v>43</v>
      </c>
      <c r="Y93" s="104"/>
      <c r="Z93" s="104" t="s">
        <v>44</v>
      </c>
      <c r="AA93" s="107"/>
      <c r="AB93" s="104" t="s">
        <v>45</v>
      </c>
      <c r="AC93" s="104" t="s">
        <v>42</v>
      </c>
      <c r="AD93" s="104" t="s">
        <v>43</v>
      </c>
      <c r="AE93" s="104" t="s">
        <v>46</v>
      </c>
      <c r="AF93" s="108"/>
      <c r="AG93" s="109"/>
      <c r="AH93" s="64"/>
      <c r="AI93" s="262" t="str">
        <f>informatieblad!$A$2</f>
        <v>FL20 loose</v>
      </c>
      <c r="AJ93" s="263"/>
      <c r="AK93" s="262" t="str">
        <f>informatieblad!$A$3</f>
        <v>FL30 loose</v>
      </c>
      <c r="AL93" s="105"/>
      <c r="AM93" s="263" t="str">
        <f>informatieblad!$A$4</f>
        <v>FL40 loose</v>
      </c>
      <c r="AN93" s="105"/>
      <c r="AO93" s="265"/>
      <c r="AP93" s="105"/>
      <c r="AQ93" s="64"/>
      <c r="AR93" s="267"/>
      <c r="AS93" s="64"/>
      <c r="AT93" s="83" t="str">
        <f>'UC mounting materials '!$B$10</f>
        <v>Rail 30x15</v>
      </c>
      <c r="AU93" s="327">
        <f>IF(Z94&lt;1000,(Z94+100),0)*C94</f>
        <v>0</v>
      </c>
      <c r="AV93" s="64"/>
      <c r="AW93" s="265" t="s">
        <v>47</v>
      </c>
      <c r="AX93" s="106" t="s">
        <v>48</v>
      </c>
      <c r="AY93" s="83" t="s">
        <v>23</v>
      </c>
      <c r="AZ93" s="83" t="s">
        <v>23</v>
      </c>
      <c r="BA93" s="83" t="s">
        <v>23</v>
      </c>
      <c r="BB93" s="273" t="s">
        <v>23</v>
      </c>
      <c r="BC93" s="83"/>
      <c r="BD93" t="s">
        <v>40</v>
      </c>
      <c r="BE93" s="83" t="s">
        <v>41</v>
      </c>
    </row>
    <row r="94" spans="1:57" ht="15.75" customHeight="1" thickBot="1">
      <c r="A94" s="468"/>
      <c r="B94" s="371" t="s">
        <v>23</v>
      </c>
      <c r="C94" s="412"/>
      <c r="D94" s="94">
        <f>C94*O94</f>
        <v>0</v>
      </c>
      <c r="E94" s="422" t="s">
        <v>24</v>
      </c>
      <c r="F94" s="93"/>
      <c r="G94" s="451" t="s">
        <v>25</v>
      </c>
      <c r="H94" s="530"/>
      <c r="I94" s="531"/>
      <c r="J94" s="83"/>
      <c r="K94" s="64"/>
      <c r="L94" s="64"/>
      <c r="M94" s="111"/>
      <c r="N94" s="112">
        <f>(((2*(B92+C92))*D92)/1000000)+(((B92-10)*(C92-10))/1000000)</f>
        <v>1E-4</v>
      </c>
      <c r="O94" s="112">
        <f>((IF(N94&lt;=informatieblad!$I$12,informatieblad!$I$12,IF(N94&gt;=informatieblad!$I$12,N94))))</f>
        <v>0.5</v>
      </c>
      <c r="P94" s="112">
        <f>(((2*B92)+(2*C92))*D92)/1000000+(((B92-10)*(C92-10))/1000000)</f>
        <v>1E-4</v>
      </c>
      <c r="Q94" s="112">
        <f>((IF(P94&lt;=informatieblad!$H$12,informatieblad!$H$12,IF(P94&gt;=informatieblad!$H$12,P94))))</f>
        <v>1E-4</v>
      </c>
      <c r="R94" s="113">
        <f>(((Q94*X94)+(Q94*U94))*C94)+BD94</f>
        <v>5</v>
      </c>
      <c r="S94" s="114">
        <f>(((O94*W94)+(O94*V94))*C94)+(BE94)</f>
        <v>12</v>
      </c>
      <c r="T94" s="115" t="str">
        <f>G94</f>
        <v>Options None</v>
      </c>
      <c r="U94" s="116">
        <f>VLOOKUP(G94,informatieblad!$A$37:$D$41,2,FALSE)</f>
        <v>0</v>
      </c>
      <c r="V94" s="116">
        <f>VLOOKUP(G94,informatieblad!$A$37:$D$41,4,FALSE)</f>
        <v>0</v>
      </c>
      <c r="W94" s="117">
        <f>((IF(D92&lt;=900,AC94,IF(D92&gt;=900,AE94))))</f>
        <v>45.1248</v>
      </c>
      <c r="X94" s="118">
        <f>((IF(D92&lt;=900,AB94,IF(D92&gt;=900,AD94))))</f>
        <v>0</v>
      </c>
      <c r="Y94" s="119"/>
      <c r="Z94" s="119">
        <f>(MAX(B92:C92))</f>
        <v>0</v>
      </c>
      <c r="AA94" s="119">
        <f>LOOKUP(Z94,informatieblad!$C$27:$C$32,informatieblad!$A$27:$A$32)</f>
        <v>0.5</v>
      </c>
      <c r="AB94" s="118">
        <f>VLOOKUP(AA94,informatieblad!$A$27:$M$32,6,FALSE)</f>
        <v>0</v>
      </c>
      <c r="AC94" s="118">
        <f>VLOOKUP(AA94,informatieblad!$A$27:$M$32,8,FALSE)</f>
        <v>45.1248</v>
      </c>
      <c r="AD94" s="118">
        <f>VLOOKUP(AA94,informatieblad!$A$27:$M$32,9,FALSE)</f>
        <v>0</v>
      </c>
      <c r="AE94" s="118">
        <f>VLOOKUP(AA94,informatieblad!$A$27:$M$32,11,FALSE)</f>
        <v>32.463200000000001</v>
      </c>
      <c r="AF94" s="120">
        <f>VLOOKUP(AA94,informatieblad!$A$27:$M$32,13,FALSE)</f>
        <v>4</v>
      </c>
      <c r="AG94" s="121">
        <f>ROUND((AF94*P94),1)</f>
        <v>0</v>
      </c>
      <c r="AH94" s="64"/>
      <c r="AI94" s="111">
        <f>(IF(B93=AI92,((2*B92)+(2*C92)),IF(B93=AI93,((2*B92)+(2*C92)),0)))*C94</f>
        <v>0</v>
      </c>
      <c r="AJ94" s="261">
        <f>(IF(C93=AI92,((2*B92)+(2*C92)),IF(C93=AI93,((2*B92)+(2*C92)),0)))*C94</f>
        <v>0</v>
      </c>
      <c r="AK94" s="111">
        <f>(IF(B93=AK92,((2*B92)+(2*C92)),IF(B93=AK93,((2*B92)+(2*C92)),0)))*C94</f>
        <v>0</v>
      </c>
      <c r="AL94" s="260">
        <f>(IF(C93=AK92,((2*B92)+(2*C92)),IF(C93=AK93,((2*B92)+(2*C92)),0)))*C94</f>
        <v>0</v>
      </c>
      <c r="AM94" s="261">
        <f>(IF(B93=AM92,((2*B92)+(2*C92)),IF(B93=AM93,((2*B92)+(2*C92)),0)))*C94</f>
        <v>0</v>
      </c>
      <c r="AN94" s="260">
        <f>(IF(C93=AM92,((2*B92)+(2*C92)),IF(C93=AM93,((2*B92)+(2*C92)),0)))*C94</f>
        <v>0</v>
      </c>
      <c r="AO94" s="111">
        <f>(IF(B93=AO92,((2*B92)+(2*C92)),0))*C94</f>
        <v>0</v>
      </c>
      <c r="AP94" s="260">
        <f>(IF(C93=AO92,((2*B92)+(2*C92)),0))*C94</f>
        <v>0</v>
      </c>
      <c r="AQ94" s="64"/>
      <c r="AR94" s="268">
        <f>D92*C94</f>
        <v>0</v>
      </c>
      <c r="AS94" s="64"/>
      <c r="AT94" s="83" t="str">
        <f>'UC mounting materials '!$B$11</f>
        <v>Rail 41x41</v>
      </c>
      <c r="AU94" s="268">
        <f>IF(Z94&gt;999,(Z94+100),0)*C94</f>
        <v>0</v>
      </c>
      <c r="AV94" s="64"/>
      <c r="AW94" s="111" t="str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/>
      </c>
      <c r="AX94" s="275" t="str">
        <f>IF(C93=informatieblad!$A$6,informatieblad!$B$6,IF(C93=informatieblad!$A$7,informatieblad!$B$7,IF(C93=informatieblad!$A$8,informatieblad!$B$8,IF(C93=informatieblad!$A$2,informatieblad!$B$2,IF(C93=informatieblad!$A$3,informatieblad!$B$3,IF(C93=informatieblad!$A$4,informatieblad!$B$4,IF(C93=informatieblad!$A$5,informatieblad!$B$5,"")))))))</f>
        <v/>
      </c>
      <c r="AY94" s="276">
        <f>IF(AW94=AY92,(4*C94),0)</f>
        <v>0</v>
      </c>
      <c r="AZ94" s="276">
        <f>IF(AX94=AY92,(4*C94),0)</f>
        <v>0</v>
      </c>
      <c r="BA94" s="276">
        <f>IF(AW94=BA92,(4*C94),0)</f>
        <v>0</v>
      </c>
      <c r="BB94" s="274">
        <f>IF(AX94=BA92,(4*C94),0)</f>
        <v>0</v>
      </c>
      <c r="BC94" s="83"/>
      <c r="BD94" s="374">
        <v>5</v>
      </c>
      <c r="BE94">
        <f>BD94*2.4</f>
        <v>12</v>
      </c>
    </row>
    <row r="95" spans="1:57" ht="5.0999999999999996" customHeight="1" thickBot="1">
      <c r="A95" s="88"/>
      <c r="B95" s="88"/>
      <c r="C95" s="88"/>
      <c r="D95" s="88"/>
      <c r="F95" s="88"/>
      <c r="G95" s="88"/>
      <c r="H95" s="88"/>
      <c r="I95" s="88"/>
      <c r="J95" s="83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83"/>
      <c r="AJ95" s="83"/>
      <c r="AK95" s="83"/>
      <c r="AL95" s="83"/>
      <c r="AM95" s="83"/>
      <c r="AN95" s="83"/>
      <c r="AO95" s="83"/>
      <c r="AP95" s="83"/>
      <c r="AQ95" s="64"/>
      <c r="AR95" s="83"/>
      <c r="AS95" s="64"/>
      <c r="AT95" s="64"/>
      <c r="AU95" s="83"/>
      <c r="AV95" s="64"/>
      <c r="AW95" s="83"/>
      <c r="AX95" s="83"/>
      <c r="AY95" s="83"/>
      <c r="AZ95" s="83"/>
      <c r="BA95" s="83"/>
      <c r="BB95" s="83"/>
      <c r="BC95" s="83"/>
    </row>
    <row r="96" spans="1:57" ht="15.75" customHeight="1" thickBot="1">
      <c r="A96" s="445"/>
      <c r="B96" s="96"/>
      <c r="C96" s="96"/>
      <c r="D96" s="96"/>
      <c r="E96" s="96"/>
      <c r="F96" s="421"/>
      <c r="G96" s="423" t="s">
        <v>181</v>
      </c>
      <c r="H96" s="424">
        <f>ROUND(((B96*C96)/1000000),2)</f>
        <v>0</v>
      </c>
      <c r="I96" s="425" t="s">
        <v>24</v>
      </c>
      <c r="J96" s="366" t="s">
        <v>20</v>
      </c>
      <c r="K96" s="64"/>
      <c r="L96" s="64"/>
      <c r="M96" s="97" t="s">
        <v>26</v>
      </c>
      <c r="N96" s="98" t="s">
        <v>27</v>
      </c>
      <c r="O96" s="98" t="s">
        <v>28</v>
      </c>
      <c r="P96" s="98" t="s">
        <v>27</v>
      </c>
      <c r="Q96" s="98" t="s">
        <v>28</v>
      </c>
      <c r="R96" s="98" t="s">
        <v>29</v>
      </c>
      <c r="S96" s="66" t="s">
        <v>30</v>
      </c>
      <c r="T96" s="99" t="s">
        <v>31</v>
      </c>
      <c r="U96" s="99"/>
      <c r="V96" s="99"/>
      <c r="W96" s="98" t="s">
        <v>32</v>
      </c>
      <c r="X96" s="98" t="s">
        <v>32</v>
      </c>
      <c r="Y96" s="98"/>
      <c r="Z96" s="98" t="s">
        <v>33</v>
      </c>
      <c r="AA96" s="100" t="s">
        <v>34</v>
      </c>
      <c r="AB96" s="98" t="s">
        <v>32</v>
      </c>
      <c r="AC96" s="98" t="s">
        <v>32</v>
      </c>
      <c r="AD96" s="98" t="s">
        <v>32</v>
      </c>
      <c r="AE96" s="98" t="s">
        <v>32</v>
      </c>
      <c r="AF96" s="98" t="s">
        <v>35</v>
      </c>
      <c r="AG96" s="101" t="s">
        <v>36</v>
      </c>
      <c r="AH96" s="64"/>
      <c r="AI96" s="97" t="str">
        <f>informatieblad!$A$6</f>
        <v>FL20</v>
      </c>
      <c r="AJ96" s="99"/>
      <c r="AK96" s="97" t="str">
        <f>informatieblad!$A$7</f>
        <v>FL30</v>
      </c>
      <c r="AL96" s="66"/>
      <c r="AM96" s="99" t="str">
        <f>informatieblad!$A$8</f>
        <v>FL40</v>
      </c>
      <c r="AN96" s="66"/>
      <c r="AO96" s="97" t="str">
        <f>informatieblad!$A$5</f>
        <v>none</v>
      </c>
      <c r="AP96" s="264"/>
      <c r="AQ96" s="64"/>
      <c r="AR96" s="266" t="s">
        <v>17</v>
      </c>
      <c r="AS96" s="64"/>
      <c r="AT96" s="64"/>
      <c r="AU96" s="266" t="s">
        <v>37</v>
      </c>
      <c r="AV96" s="64"/>
      <c r="AW96" s="269" t="s">
        <v>38</v>
      </c>
      <c r="AX96" s="272"/>
      <c r="AY96" s="272">
        <f>informatieblad!$B$3</f>
        <v>0</v>
      </c>
      <c r="AZ96" s="272">
        <f>informatieblad!$B$3</f>
        <v>0</v>
      </c>
      <c r="BA96" s="272">
        <f>informatieblad!$B$4</f>
        <v>0</v>
      </c>
      <c r="BB96" s="264">
        <f>informatieblad!$B$4</f>
        <v>0</v>
      </c>
      <c r="BC96" s="83"/>
      <c r="BD96" t="s">
        <v>182</v>
      </c>
    </row>
    <row r="97" spans="1:57" ht="15" customHeight="1">
      <c r="A97" s="467"/>
      <c r="B97" s="102" t="str">
        <f>IF($C98&gt;0,IF(MAX(B96:C96)&lt;informatieblad!$Q$4,informatieblad!$P$3,IF(MAX(B96:C96)&gt;informatieblad!$R$4,informatieblad!$P$5,informatieblad!$P$4)),"")</f>
        <v/>
      </c>
      <c r="C97" s="102" t="str">
        <f>IF($C98&gt;0,IF(MAX(B96:C96)&lt;informatieblad!$Q$4,informatieblad!$P$3,IF(MAX(B96:C96)&gt;informatieblad!$R$4,informatieblad!$P$5,informatieblad!$P$4)),"")</f>
        <v/>
      </c>
      <c r="D97" s="504"/>
      <c r="E97" s="527"/>
      <c r="F97" s="505" t="str">
        <f>A96&amp;"-"&amp;informatieblad!$B$21&amp;"-"&amp;B96&amp;"-"&amp;C96&amp;"-"&amp;D96&amp;"-"&amp;E96&amp;"-"&amp;B97&amp;"-"&amp;C97&amp;"-"&amp;G98</f>
        <v>-RctV-------Options None</v>
      </c>
      <c r="G97" s="528"/>
      <c r="H97" s="528"/>
      <c r="I97" s="529"/>
      <c r="J97" s="83"/>
      <c r="K97" s="64"/>
      <c r="L97" s="64"/>
      <c r="M97" s="103">
        <f>A96</f>
        <v>0</v>
      </c>
      <c r="N97" s="104" t="s">
        <v>39</v>
      </c>
      <c r="O97" s="104" t="s">
        <v>39</v>
      </c>
      <c r="P97" s="104" t="s">
        <v>40</v>
      </c>
      <c r="Q97" s="104" t="s">
        <v>40</v>
      </c>
      <c r="R97" s="104" t="s">
        <v>40</v>
      </c>
      <c r="S97" s="105"/>
      <c r="T97" s="106" t="s">
        <v>27</v>
      </c>
      <c r="U97" s="106" t="s">
        <v>40</v>
      </c>
      <c r="V97" s="106" t="s">
        <v>41</v>
      </c>
      <c r="W97" s="104" t="s">
        <v>42</v>
      </c>
      <c r="X97" s="104" t="s">
        <v>43</v>
      </c>
      <c r="Y97" s="104"/>
      <c r="Z97" s="104" t="s">
        <v>44</v>
      </c>
      <c r="AA97" s="107"/>
      <c r="AB97" s="104" t="s">
        <v>45</v>
      </c>
      <c r="AC97" s="104" t="s">
        <v>42</v>
      </c>
      <c r="AD97" s="104" t="s">
        <v>43</v>
      </c>
      <c r="AE97" s="104" t="s">
        <v>46</v>
      </c>
      <c r="AF97" s="108"/>
      <c r="AG97" s="109"/>
      <c r="AH97" s="64"/>
      <c r="AI97" s="262" t="str">
        <f>informatieblad!$A$2</f>
        <v>FL20 loose</v>
      </c>
      <c r="AJ97" s="263"/>
      <c r="AK97" s="262" t="str">
        <f>informatieblad!$A$3</f>
        <v>FL30 loose</v>
      </c>
      <c r="AL97" s="105"/>
      <c r="AM97" s="263" t="str">
        <f>informatieblad!$A$4</f>
        <v>FL40 loose</v>
      </c>
      <c r="AN97" s="105"/>
      <c r="AO97" s="265"/>
      <c r="AP97" s="105"/>
      <c r="AQ97" s="64"/>
      <c r="AR97" s="267"/>
      <c r="AS97" s="64"/>
      <c r="AT97" s="83" t="str">
        <f>'UC mounting materials '!$B$10</f>
        <v>Rail 30x15</v>
      </c>
      <c r="AU97" s="327">
        <f>IF(Z98&lt;1000,(Z98+100),0)*C98</f>
        <v>0</v>
      </c>
      <c r="AV97" s="64"/>
      <c r="AW97" s="265" t="s">
        <v>47</v>
      </c>
      <c r="AX97" s="106" t="s">
        <v>48</v>
      </c>
      <c r="AY97" s="83" t="s">
        <v>23</v>
      </c>
      <c r="AZ97" s="83" t="s">
        <v>23</v>
      </c>
      <c r="BA97" s="83" t="s">
        <v>23</v>
      </c>
      <c r="BB97" s="273" t="s">
        <v>23</v>
      </c>
      <c r="BC97" s="83"/>
      <c r="BD97" t="s">
        <v>40</v>
      </c>
      <c r="BE97" s="83" t="s">
        <v>41</v>
      </c>
    </row>
    <row r="98" spans="1:57" ht="15.75" customHeight="1" thickBot="1">
      <c r="A98" s="468"/>
      <c r="B98" s="371" t="s">
        <v>23</v>
      </c>
      <c r="C98" s="412"/>
      <c r="D98" s="94">
        <f>C98*O98</f>
        <v>0</v>
      </c>
      <c r="E98" s="422" t="s">
        <v>24</v>
      </c>
      <c r="F98" s="93"/>
      <c r="G98" s="451" t="s">
        <v>25</v>
      </c>
      <c r="H98" s="530"/>
      <c r="I98" s="531"/>
      <c r="J98" s="83"/>
      <c r="K98" s="64"/>
      <c r="L98" s="64"/>
      <c r="M98" s="111"/>
      <c r="N98" s="112">
        <f>(((2*(B96+C96))*D96)/1000000)+(((B96-10)*(C96-10))/1000000)</f>
        <v>1E-4</v>
      </c>
      <c r="O98" s="112">
        <f>((IF(N98&lt;=informatieblad!$I$12,informatieblad!$I$12,IF(N98&gt;=informatieblad!$I$12,N98))))</f>
        <v>0.5</v>
      </c>
      <c r="P98" s="112">
        <f>(((2*B96)+(2*C96))*D96)/1000000+(((B96-10)*(C96-10))/1000000)</f>
        <v>1E-4</v>
      </c>
      <c r="Q98" s="112">
        <f>((IF(P98&lt;=informatieblad!$H$12,informatieblad!$H$12,IF(P98&gt;=informatieblad!$H$12,P98))))</f>
        <v>1E-4</v>
      </c>
      <c r="R98" s="113">
        <f>(((Q98*X98)+(Q98*U98))*C98)+BD98</f>
        <v>5</v>
      </c>
      <c r="S98" s="114">
        <f>(((O98*W98)+(O98*V98))*C98)+(BE98)</f>
        <v>12</v>
      </c>
      <c r="T98" s="115" t="str">
        <f>G98</f>
        <v>Options None</v>
      </c>
      <c r="U98" s="116">
        <f>VLOOKUP(G98,informatieblad!$A$37:$D$41,2,FALSE)</f>
        <v>0</v>
      </c>
      <c r="V98" s="116">
        <f>VLOOKUP(G98,informatieblad!$A$37:$D$41,4,FALSE)</f>
        <v>0</v>
      </c>
      <c r="W98" s="117">
        <f>((IF(D96&lt;=900,AC98,IF(D96&gt;=900,AE98))))</f>
        <v>45.1248</v>
      </c>
      <c r="X98" s="118">
        <f>((IF(D96&lt;=900,AB98,IF(D96&gt;=900,AD98))))</f>
        <v>0</v>
      </c>
      <c r="Y98" s="119"/>
      <c r="Z98" s="119">
        <f>(MAX(B96:C96))</f>
        <v>0</v>
      </c>
      <c r="AA98" s="119">
        <f>LOOKUP(Z98,informatieblad!$C$27:$C$32,informatieblad!$A$27:$A$32)</f>
        <v>0.5</v>
      </c>
      <c r="AB98" s="118">
        <f>VLOOKUP(AA98,informatieblad!$A$27:$M$32,6,FALSE)</f>
        <v>0</v>
      </c>
      <c r="AC98" s="118">
        <f>VLOOKUP(AA98,informatieblad!$A$27:$M$32,8,FALSE)</f>
        <v>45.1248</v>
      </c>
      <c r="AD98" s="118">
        <f>VLOOKUP(AA98,informatieblad!$A$27:$M$32,9,FALSE)</f>
        <v>0</v>
      </c>
      <c r="AE98" s="118">
        <f>VLOOKUP(AA98,informatieblad!$A$27:$M$32,11,FALSE)</f>
        <v>32.463200000000001</v>
      </c>
      <c r="AF98" s="120">
        <f>VLOOKUP(AA98,informatieblad!$A$27:$M$32,13,FALSE)</f>
        <v>4</v>
      </c>
      <c r="AG98" s="121">
        <f>ROUND((AF98*P98),1)</f>
        <v>0</v>
      </c>
      <c r="AH98" s="64"/>
      <c r="AI98" s="111">
        <f>(IF(B97=AI96,((2*B96)+(2*C96)),IF(B97=AI97,((2*B96)+(2*C96)),0)))*C98</f>
        <v>0</v>
      </c>
      <c r="AJ98" s="261">
        <f>(IF(C97=AI96,((2*B96)+(2*C96)),IF(C97=AI97,((2*B96)+(2*C96)),0)))*C98</f>
        <v>0</v>
      </c>
      <c r="AK98" s="111">
        <f>(IF(B97=AK96,((2*B96)+(2*C96)),IF(B97=AK97,((2*B96)+(2*C96)),0)))*C98</f>
        <v>0</v>
      </c>
      <c r="AL98" s="260">
        <f>(IF(C97=AK96,((2*B96)+(2*C96)),IF(C97=AK97,((2*B96)+(2*C96)),0)))*C98</f>
        <v>0</v>
      </c>
      <c r="AM98" s="261">
        <f>(IF(B97=AM96,((2*B96)+(2*C96)),IF(B97=AM97,((2*B96)+(2*C96)),0)))*C98</f>
        <v>0</v>
      </c>
      <c r="AN98" s="260">
        <f>(IF(C97=AM96,((2*B96)+(2*C96)),IF(C97=AM97,((2*B96)+(2*C96)),0)))*C98</f>
        <v>0</v>
      </c>
      <c r="AO98" s="111">
        <f>(IF(B97=AO96,((2*B96)+(2*C96)),0))*C98</f>
        <v>0</v>
      </c>
      <c r="AP98" s="260">
        <f>(IF(C97=AO96,((2*B96)+(2*C96)),0))*C98</f>
        <v>0</v>
      </c>
      <c r="AQ98" s="64"/>
      <c r="AR98" s="268">
        <f>D96*C98</f>
        <v>0</v>
      </c>
      <c r="AS98" s="64"/>
      <c r="AT98" s="83" t="str">
        <f>'UC mounting materials '!$B$11</f>
        <v>Rail 41x41</v>
      </c>
      <c r="AU98" s="268">
        <f>IF(Z98&gt;999,(Z98+100),0)*C98</f>
        <v>0</v>
      </c>
      <c r="AV98" s="64"/>
      <c r="AW98" s="111" t="str">
        <f>IF(B97=informatieblad!$A$6,informatieblad!$B$6,IF(B97=informatieblad!$A$7,informatieblad!$B$7,IF(B97=informatieblad!$A$8,informatieblad!$B$8,IF(B97=informatieblad!$A$2,informatieblad!$B$2,IF(B97=informatieblad!$A$3,informatieblad!$B$3,IF(B97=informatieblad!$A$4,informatieblad!$B$4,IF(B97=informatieblad!$A$5,informatieblad!$B$5,"")))))))</f>
        <v/>
      </c>
      <c r="AX98" s="275" t="str">
        <f>IF(C97=informatieblad!$A$6,informatieblad!$B$6,IF(C97=informatieblad!$A$7,informatieblad!$B$7,IF(C97=informatieblad!$A$8,informatieblad!$B$8,IF(C97=informatieblad!$A$2,informatieblad!$B$2,IF(C97=informatieblad!$A$3,informatieblad!$B$3,IF(C97=informatieblad!$A$4,informatieblad!$B$4,IF(C97=informatieblad!$A$5,informatieblad!$B$5,"")))))))</f>
        <v/>
      </c>
      <c r="AY98" s="276">
        <f>IF(AW98=AY96,(4*C98),0)</f>
        <v>0</v>
      </c>
      <c r="AZ98" s="276">
        <f>IF(AX98=AY96,(4*C98),0)</f>
        <v>0</v>
      </c>
      <c r="BA98" s="276">
        <f>IF(AW98=BA96,(4*C98),0)</f>
        <v>0</v>
      </c>
      <c r="BB98" s="274">
        <f>IF(AX98=BA96,(4*C98),0)</f>
        <v>0</v>
      </c>
      <c r="BC98" s="83"/>
      <c r="BD98" s="374">
        <v>5</v>
      </c>
      <c r="BE98">
        <f>BD98*2.4</f>
        <v>12</v>
      </c>
    </row>
    <row r="99" spans="1:57" ht="5.0999999999999996" customHeight="1" thickBot="1">
      <c r="A99" s="88"/>
      <c r="B99" s="88"/>
      <c r="C99" s="88"/>
      <c r="D99" s="88"/>
      <c r="F99" s="88"/>
      <c r="G99" s="88"/>
      <c r="H99" s="88"/>
      <c r="I99" s="88"/>
      <c r="J99" s="83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83"/>
      <c r="AJ99" s="83"/>
      <c r="AK99" s="83"/>
      <c r="AL99" s="83"/>
      <c r="AM99" s="83"/>
      <c r="AN99" s="83"/>
      <c r="AO99" s="83"/>
      <c r="AP99" s="83"/>
      <c r="AQ99" s="64"/>
      <c r="AR99" s="83"/>
      <c r="AS99" s="64"/>
      <c r="AT99" s="64"/>
      <c r="AU99" s="83"/>
      <c r="AV99" s="64"/>
      <c r="AW99" s="83"/>
      <c r="AX99" s="83"/>
      <c r="AY99" s="83"/>
      <c r="AZ99" s="83"/>
      <c r="BA99" s="83"/>
      <c r="BB99" s="83"/>
      <c r="BC99" s="83"/>
    </row>
    <row r="100" spans="1:57" ht="15.75" customHeight="1" thickBot="1">
      <c r="A100" s="445"/>
      <c r="B100" s="96"/>
      <c r="C100" s="96"/>
      <c r="D100" s="96"/>
      <c r="E100" s="96"/>
      <c r="F100" s="421"/>
      <c r="G100" s="423" t="s">
        <v>181</v>
      </c>
      <c r="H100" s="424">
        <f>ROUND(((B100*C100)/1000000),2)</f>
        <v>0</v>
      </c>
      <c r="I100" s="425" t="s">
        <v>24</v>
      </c>
      <c r="J100" s="366" t="s">
        <v>20</v>
      </c>
      <c r="K100" s="64"/>
      <c r="L100" s="64"/>
      <c r="M100" s="97" t="s">
        <v>26</v>
      </c>
      <c r="N100" s="98" t="s">
        <v>27</v>
      </c>
      <c r="O100" s="98" t="s">
        <v>28</v>
      </c>
      <c r="P100" s="98" t="s">
        <v>27</v>
      </c>
      <c r="Q100" s="98" t="s">
        <v>28</v>
      </c>
      <c r="R100" s="98" t="s">
        <v>29</v>
      </c>
      <c r="S100" s="66" t="s">
        <v>30</v>
      </c>
      <c r="T100" s="99" t="s">
        <v>31</v>
      </c>
      <c r="U100" s="99"/>
      <c r="V100" s="99"/>
      <c r="W100" s="98" t="s">
        <v>32</v>
      </c>
      <c r="X100" s="98" t="s">
        <v>32</v>
      </c>
      <c r="Y100" s="98"/>
      <c r="Z100" s="98" t="s">
        <v>33</v>
      </c>
      <c r="AA100" s="100" t="s">
        <v>34</v>
      </c>
      <c r="AB100" s="98" t="s">
        <v>32</v>
      </c>
      <c r="AC100" s="98" t="s">
        <v>32</v>
      </c>
      <c r="AD100" s="98" t="s">
        <v>32</v>
      </c>
      <c r="AE100" s="98" t="s">
        <v>32</v>
      </c>
      <c r="AF100" s="98" t="s">
        <v>35</v>
      </c>
      <c r="AG100" s="101" t="s">
        <v>36</v>
      </c>
      <c r="AH100" s="64"/>
      <c r="AI100" s="97" t="str">
        <f>informatieblad!$A$6</f>
        <v>FL20</v>
      </c>
      <c r="AJ100" s="99"/>
      <c r="AK100" s="97" t="str">
        <f>informatieblad!$A$7</f>
        <v>FL30</v>
      </c>
      <c r="AL100" s="66"/>
      <c r="AM100" s="99" t="str">
        <f>informatieblad!$A$8</f>
        <v>FL40</v>
      </c>
      <c r="AN100" s="66"/>
      <c r="AO100" s="97" t="str">
        <f>informatieblad!$A$5</f>
        <v>none</v>
      </c>
      <c r="AP100" s="264"/>
      <c r="AQ100" s="64"/>
      <c r="AR100" s="266" t="s">
        <v>17</v>
      </c>
      <c r="AS100" s="64"/>
      <c r="AT100" s="64"/>
      <c r="AU100" s="266" t="s">
        <v>37</v>
      </c>
      <c r="AV100" s="64"/>
      <c r="AW100" s="269" t="s">
        <v>38</v>
      </c>
      <c r="AX100" s="272"/>
      <c r="AY100" s="272">
        <f>informatieblad!$B$3</f>
        <v>0</v>
      </c>
      <c r="AZ100" s="272">
        <f>informatieblad!$B$3</f>
        <v>0</v>
      </c>
      <c r="BA100" s="272">
        <f>informatieblad!$B$4</f>
        <v>0</v>
      </c>
      <c r="BB100" s="264">
        <f>informatieblad!$B$4</f>
        <v>0</v>
      </c>
      <c r="BC100" s="83"/>
      <c r="BD100" t="s">
        <v>182</v>
      </c>
    </row>
    <row r="101" spans="1:57" ht="15" customHeight="1">
      <c r="A101" s="467"/>
      <c r="B101" s="102" t="str">
        <f>IF($C102&gt;0,IF(MAX(B100:C100)&lt;informatieblad!$Q$4,informatieblad!$P$3,IF(MAX(B100:C100)&gt;informatieblad!$R$4,informatieblad!$P$5,informatieblad!$P$4)),"")</f>
        <v/>
      </c>
      <c r="C101" s="102" t="str">
        <f>IF($C102&gt;0,IF(MAX(B100:C100)&lt;informatieblad!$Q$4,informatieblad!$P$3,IF(MAX(B100:C100)&gt;informatieblad!$R$4,informatieblad!$P$5,informatieblad!$P$4)),"")</f>
        <v/>
      </c>
      <c r="D101" s="504"/>
      <c r="E101" s="527"/>
      <c r="F101" s="505" t="str">
        <f>A100&amp;"-"&amp;informatieblad!$B$21&amp;"-"&amp;B100&amp;"-"&amp;C100&amp;"-"&amp;D100&amp;"-"&amp;E100&amp;"-"&amp;B101&amp;"-"&amp;C101&amp;"-"&amp;G102</f>
        <v>-RctV-------Options None</v>
      </c>
      <c r="G101" s="528"/>
      <c r="H101" s="528"/>
      <c r="I101" s="529"/>
      <c r="J101" s="83"/>
      <c r="K101" s="64"/>
      <c r="L101" s="64"/>
      <c r="M101" s="103">
        <f t="shared" ref="M101" si="312">A100</f>
        <v>0</v>
      </c>
      <c r="N101" s="104" t="s">
        <v>39</v>
      </c>
      <c r="O101" s="104" t="s">
        <v>39</v>
      </c>
      <c r="P101" s="104" t="s">
        <v>40</v>
      </c>
      <c r="Q101" s="104" t="s">
        <v>40</v>
      </c>
      <c r="R101" s="104" t="s">
        <v>40</v>
      </c>
      <c r="S101" s="105"/>
      <c r="T101" s="106" t="s">
        <v>27</v>
      </c>
      <c r="U101" s="106" t="s">
        <v>40</v>
      </c>
      <c r="V101" s="106" t="s">
        <v>41</v>
      </c>
      <c r="W101" s="104" t="s">
        <v>42</v>
      </c>
      <c r="X101" s="104" t="s">
        <v>43</v>
      </c>
      <c r="Y101" s="104"/>
      <c r="Z101" s="104" t="s">
        <v>44</v>
      </c>
      <c r="AA101" s="107"/>
      <c r="AB101" s="104" t="s">
        <v>45</v>
      </c>
      <c r="AC101" s="104" t="s">
        <v>42</v>
      </c>
      <c r="AD101" s="104" t="s">
        <v>43</v>
      </c>
      <c r="AE101" s="104" t="s">
        <v>46</v>
      </c>
      <c r="AF101" s="108"/>
      <c r="AG101" s="109"/>
      <c r="AH101" s="64"/>
      <c r="AI101" s="262" t="str">
        <f>informatieblad!$A$2</f>
        <v>FL20 loose</v>
      </c>
      <c r="AJ101" s="263"/>
      <c r="AK101" s="262" t="str">
        <f>informatieblad!$A$3</f>
        <v>FL30 loose</v>
      </c>
      <c r="AL101" s="105"/>
      <c r="AM101" s="263" t="str">
        <f>informatieblad!$A$4</f>
        <v>FL40 loose</v>
      </c>
      <c r="AN101" s="105"/>
      <c r="AO101" s="265"/>
      <c r="AP101" s="105"/>
      <c r="AQ101" s="64"/>
      <c r="AR101" s="267"/>
      <c r="AS101" s="64"/>
      <c r="AT101" s="83" t="str">
        <f>'UC mounting materials '!$B$10</f>
        <v>Rail 30x15</v>
      </c>
      <c r="AU101" s="327">
        <f t="shared" ref="AU101" si="313">IF(Z102&lt;1000,(Z102+100),0)*C102</f>
        <v>0</v>
      </c>
      <c r="AV101" s="64"/>
      <c r="AW101" s="265" t="s">
        <v>47</v>
      </c>
      <c r="AX101" s="106" t="s">
        <v>48</v>
      </c>
      <c r="AY101" s="83" t="s">
        <v>23</v>
      </c>
      <c r="AZ101" s="83" t="s">
        <v>23</v>
      </c>
      <c r="BA101" s="83" t="s">
        <v>23</v>
      </c>
      <c r="BB101" s="273" t="s">
        <v>23</v>
      </c>
      <c r="BC101" s="83"/>
      <c r="BD101" t="s">
        <v>40</v>
      </c>
      <c r="BE101" s="83" t="s">
        <v>41</v>
      </c>
    </row>
    <row r="102" spans="1:57" ht="15.75" customHeight="1" thickBot="1">
      <c r="A102" s="468"/>
      <c r="B102" s="371" t="s">
        <v>23</v>
      </c>
      <c r="C102" s="412"/>
      <c r="D102" s="94">
        <f>C102*O102</f>
        <v>0</v>
      </c>
      <c r="E102" s="422" t="s">
        <v>24</v>
      </c>
      <c r="F102" s="93"/>
      <c r="G102" s="451" t="s">
        <v>25</v>
      </c>
      <c r="H102" s="530"/>
      <c r="I102" s="531"/>
      <c r="J102" s="83"/>
      <c r="K102" s="64"/>
      <c r="L102" s="64"/>
      <c r="M102" s="111"/>
      <c r="N102" s="112">
        <f t="shared" ref="N102" si="314">(((2*(B100+C100))*D100)/1000000)+(((B100-10)*(C100-10))/1000000)</f>
        <v>1E-4</v>
      </c>
      <c r="O102" s="112">
        <f>((IF(N102&lt;=informatieblad!$I$12,informatieblad!$I$12,IF(N102&gt;=informatieblad!$I$12,N102))))</f>
        <v>0.5</v>
      </c>
      <c r="P102" s="112">
        <f t="shared" ref="P102" si="315">(((2*B100)+(2*C100))*D100)/1000000+(((B100-10)*(C100-10))/1000000)</f>
        <v>1E-4</v>
      </c>
      <c r="Q102" s="112">
        <f>((IF(P102&lt;=informatieblad!$H$12,informatieblad!$H$12,IF(P102&gt;=informatieblad!$H$12,P102))))</f>
        <v>1E-4</v>
      </c>
      <c r="R102" s="113">
        <f t="shared" ref="R102" si="316">(((Q102*X102)+(Q102*U102))*C102)+BD102</f>
        <v>5</v>
      </c>
      <c r="S102" s="114">
        <f t="shared" ref="S102" si="317">(((O102*W102)+(O102*V102))*C102)+(BE102)</f>
        <v>12</v>
      </c>
      <c r="T102" s="115" t="str">
        <f t="shared" ref="T102" si="318">G102</f>
        <v>Options None</v>
      </c>
      <c r="U102" s="116">
        <f>VLOOKUP(G102,informatieblad!$A$37:$D$41,2,FALSE)</f>
        <v>0</v>
      </c>
      <c r="V102" s="116">
        <f>VLOOKUP(G102,informatieblad!$A$37:$D$41,4,FALSE)</f>
        <v>0</v>
      </c>
      <c r="W102" s="117">
        <f t="shared" ref="W102" si="319">((IF(D100&lt;=900,AC102,IF(D100&gt;=900,AE102))))</f>
        <v>45.1248</v>
      </c>
      <c r="X102" s="118">
        <f t="shared" ref="X102" si="320">((IF(D100&lt;=900,AB102,IF(D100&gt;=900,AD102))))</f>
        <v>0</v>
      </c>
      <c r="Y102" s="119"/>
      <c r="Z102" s="119">
        <f t="shared" ref="Z102" si="321">(MAX(B100:C100))</f>
        <v>0</v>
      </c>
      <c r="AA102" s="119">
        <f>LOOKUP(Z102,informatieblad!$C$27:$C$32,informatieblad!$A$27:$A$32)</f>
        <v>0.5</v>
      </c>
      <c r="AB102" s="118">
        <f>VLOOKUP(AA102,informatieblad!$A$27:$M$32,6,FALSE)</f>
        <v>0</v>
      </c>
      <c r="AC102" s="118">
        <f>VLOOKUP(AA102,informatieblad!$A$27:$M$32,8,FALSE)</f>
        <v>45.1248</v>
      </c>
      <c r="AD102" s="118">
        <f>VLOOKUP(AA102,informatieblad!$A$27:$M$32,9,FALSE)</f>
        <v>0</v>
      </c>
      <c r="AE102" s="118">
        <f>VLOOKUP(AA102,informatieblad!$A$27:$M$32,11,FALSE)</f>
        <v>32.463200000000001</v>
      </c>
      <c r="AF102" s="120">
        <f>VLOOKUP(AA102,informatieblad!$A$27:$M$32,13,FALSE)</f>
        <v>4</v>
      </c>
      <c r="AG102" s="121">
        <f t="shared" ref="AG102" si="322">ROUND((AF102*P102),1)</f>
        <v>0</v>
      </c>
      <c r="AH102" s="64"/>
      <c r="AI102" s="111">
        <f t="shared" ref="AI102" si="323">(IF(B101=AI100,((2*B100)+(2*C100)),IF(B101=AI101,((2*B100)+(2*C100)),0)))*C102</f>
        <v>0</v>
      </c>
      <c r="AJ102" s="261">
        <f t="shared" ref="AJ102" si="324">(IF(C101=AI100,((2*B100)+(2*C100)),IF(C101=AI101,((2*B100)+(2*C100)),0)))*C102</f>
        <v>0</v>
      </c>
      <c r="AK102" s="111">
        <f t="shared" ref="AK102" si="325">(IF(B101=AK100,((2*B100)+(2*C100)),IF(B101=AK101,((2*B100)+(2*C100)),0)))*C102</f>
        <v>0</v>
      </c>
      <c r="AL102" s="260">
        <f t="shared" ref="AL102" si="326">(IF(C101=AK100,((2*B100)+(2*C100)),IF(C101=AK101,((2*B100)+(2*C100)),0)))*C102</f>
        <v>0</v>
      </c>
      <c r="AM102" s="261">
        <f t="shared" ref="AM102" si="327">(IF(B101=AM100,((2*B100)+(2*C100)),IF(B101=AM101,((2*B100)+(2*C100)),0)))*C102</f>
        <v>0</v>
      </c>
      <c r="AN102" s="260">
        <f t="shared" ref="AN102" si="328">(IF(C101=AM100,((2*B100)+(2*C100)),IF(C101=AM101,((2*B100)+(2*C100)),0)))*C102</f>
        <v>0</v>
      </c>
      <c r="AO102" s="111">
        <f t="shared" ref="AO102" si="329">(IF(B101=AO100,((2*B100)+(2*C100)),0))*C102</f>
        <v>0</v>
      </c>
      <c r="AP102" s="260">
        <f t="shared" ref="AP102" si="330">(IF(C101=AO100,((2*B100)+(2*C100)),0))*C102</f>
        <v>0</v>
      </c>
      <c r="AQ102" s="64"/>
      <c r="AR102" s="268">
        <f t="shared" ref="AR102" si="331">D100*C102</f>
        <v>0</v>
      </c>
      <c r="AS102" s="64"/>
      <c r="AT102" s="83" t="str">
        <f>'UC mounting materials '!$B$11</f>
        <v>Rail 41x41</v>
      </c>
      <c r="AU102" s="268">
        <f t="shared" ref="AU102" si="332">IF(Z102&gt;999,(Z102+100),0)*C102</f>
        <v>0</v>
      </c>
      <c r="AV102" s="64"/>
      <c r="AW102" s="111" t="str">
        <f>IF(B101=informatieblad!$A$6,informatieblad!$B$6,IF(B101=informatieblad!$A$7,informatieblad!$B$7,IF(B101=informatieblad!$A$8,informatieblad!$B$8,IF(B101=informatieblad!$A$2,informatieblad!$B$2,IF(B101=informatieblad!$A$3,informatieblad!$B$3,IF(B101=informatieblad!$A$4,informatieblad!$B$4,IF(B101=informatieblad!$A$5,informatieblad!$B$5,"")))))))</f>
        <v/>
      </c>
      <c r="AX102" s="275" t="str">
        <f>IF(C101=informatieblad!$A$6,informatieblad!$B$6,IF(C101=informatieblad!$A$7,informatieblad!$B$7,IF(C101=informatieblad!$A$8,informatieblad!$B$8,IF(C101=informatieblad!$A$2,informatieblad!$B$2,IF(C101=informatieblad!$A$3,informatieblad!$B$3,IF(C101=informatieblad!$A$4,informatieblad!$B$4,IF(C101=informatieblad!$A$5,informatieblad!$B$5,"")))))))</f>
        <v/>
      </c>
      <c r="AY102" s="276">
        <f t="shared" ref="AY102" si="333">IF(AW102=AY100,(4*C102),0)</f>
        <v>0</v>
      </c>
      <c r="AZ102" s="276">
        <f t="shared" ref="AZ102" si="334">IF(AX102=AY100,(4*C102),0)</f>
        <v>0</v>
      </c>
      <c r="BA102" s="276">
        <f t="shared" ref="BA102" si="335">IF(AW102=BA100,(4*C102),0)</f>
        <v>0</v>
      </c>
      <c r="BB102" s="274">
        <f t="shared" ref="BB102" si="336">IF(AX102=BA100,(4*C102),0)</f>
        <v>0</v>
      </c>
      <c r="BC102" s="83"/>
      <c r="BD102" s="374">
        <v>5</v>
      </c>
      <c r="BE102">
        <f t="shared" ref="BE102" si="337">BD102*2.4</f>
        <v>12</v>
      </c>
    </row>
    <row r="103" spans="1:57" ht="5.0999999999999996" customHeight="1" thickBot="1">
      <c r="A103" s="88"/>
      <c r="B103" s="88"/>
      <c r="C103" s="88"/>
      <c r="D103" s="88"/>
      <c r="F103" s="88"/>
      <c r="G103" s="88"/>
      <c r="H103" s="88"/>
      <c r="I103" s="88"/>
      <c r="J103" s="83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83"/>
      <c r="AJ103" s="83"/>
      <c r="AK103" s="83"/>
      <c r="AL103" s="83"/>
      <c r="AM103" s="83"/>
      <c r="AN103" s="83"/>
      <c r="AO103" s="83"/>
      <c r="AP103" s="83"/>
      <c r="AQ103" s="64"/>
      <c r="AR103" s="83"/>
      <c r="AS103" s="64"/>
      <c r="AT103" s="64"/>
      <c r="AU103" s="83"/>
      <c r="AV103" s="64"/>
      <c r="AW103" s="83"/>
      <c r="AX103" s="83"/>
      <c r="AY103" s="83"/>
      <c r="AZ103" s="83"/>
      <c r="BA103" s="83"/>
      <c r="BB103" s="83"/>
      <c r="BC103" s="83"/>
    </row>
    <row r="104" spans="1:57" ht="15.75" customHeight="1" thickBot="1">
      <c r="A104" s="445"/>
      <c r="B104" s="96"/>
      <c r="C104" s="96"/>
      <c r="D104" s="96"/>
      <c r="E104" s="96"/>
      <c r="F104" s="421"/>
      <c r="G104" s="423" t="s">
        <v>181</v>
      </c>
      <c r="H104" s="424">
        <f>ROUND(((B104*C104)/1000000),2)</f>
        <v>0</v>
      </c>
      <c r="I104" s="425" t="s">
        <v>24</v>
      </c>
      <c r="J104" s="366" t="s">
        <v>20</v>
      </c>
      <c r="K104" s="64"/>
      <c r="L104" s="64"/>
      <c r="M104" s="97" t="s">
        <v>26</v>
      </c>
      <c r="N104" s="98" t="s">
        <v>27</v>
      </c>
      <c r="O104" s="98" t="s">
        <v>28</v>
      </c>
      <c r="P104" s="98" t="s">
        <v>27</v>
      </c>
      <c r="Q104" s="98" t="s">
        <v>28</v>
      </c>
      <c r="R104" s="98" t="s">
        <v>29</v>
      </c>
      <c r="S104" s="66" t="s">
        <v>30</v>
      </c>
      <c r="T104" s="99" t="s">
        <v>31</v>
      </c>
      <c r="U104" s="99"/>
      <c r="V104" s="99"/>
      <c r="W104" s="98" t="s">
        <v>32</v>
      </c>
      <c r="X104" s="98" t="s">
        <v>32</v>
      </c>
      <c r="Y104" s="98"/>
      <c r="Z104" s="98" t="s">
        <v>33</v>
      </c>
      <c r="AA104" s="100" t="s">
        <v>34</v>
      </c>
      <c r="AB104" s="98" t="s">
        <v>32</v>
      </c>
      <c r="AC104" s="98" t="s">
        <v>32</v>
      </c>
      <c r="AD104" s="98" t="s">
        <v>32</v>
      </c>
      <c r="AE104" s="98" t="s">
        <v>32</v>
      </c>
      <c r="AF104" s="98" t="s">
        <v>35</v>
      </c>
      <c r="AG104" s="101" t="s">
        <v>36</v>
      </c>
      <c r="AH104" s="64"/>
      <c r="AI104" s="97" t="str">
        <f>informatieblad!$A$6</f>
        <v>FL20</v>
      </c>
      <c r="AJ104" s="99"/>
      <c r="AK104" s="97" t="str">
        <f>informatieblad!$A$7</f>
        <v>FL30</v>
      </c>
      <c r="AL104" s="66"/>
      <c r="AM104" s="99" t="str">
        <f>informatieblad!$A$8</f>
        <v>FL40</v>
      </c>
      <c r="AN104" s="66"/>
      <c r="AO104" s="97" t="str">
        <f>informatieblad!$A$5</f>
        <v>none</v>
      </c>
      <c r="AP104" s="264"/>
      <c r="AQ104" s="64"/>
      <c r="AR104" s="266" t="s">
        <v>17</v>
      </c>
      <c r="AS104" s="64"/>
      <c r="AT104" s="64"/>
      <c r="AU104" s="266" t="s">
        <v>37</v>
      </c>
      <c r="AV104" s="64"/>
      <c r="AW104" s="269" t="s">
        <v>38</v>
      </c>
      <c r="AX104" s="272"/>
      <c r="AY104" s="272">
        <f>informatieblad!$B$3</f>
        <v>0</v>
      </c>
      <c r="AZ104" s="272">
        <f>informatieblad!$B$3</f>
        <v>0</v>
      </c>
      <c r="BA104" s="272">
        <f>informatieblad!$B$4</f>
        <v>0</v>
      </c>
      <c r="BB104" s="264">
        <f>informatieblad!$B$4</f>
        <v>0</v>
      </c>
      <c r="BC104" s="83"/>
      <c r="BD104" t="s">
        <v>182</v>
      </c>
    </row>
    <row r="105" spans="1:57" ht="15" customHeight="1">
      <c r="A105" s="467"/>
      <c r="B105" s="102" t="str">
        <f>IF($C106&gt;0,IF(MAX(B104:C104)&lt;informatieblad!$Q$4,informatieblad!$P$3,IF(MAX(B104:C104)&gt;informatieblad!$R$4,informatieblad!$P$5,informatieblad!$P$4)),"")</f>
        <v/>
      </c>
      <c r="C105" s="102" t="str">
        <f>IF($C106&gt;0,IF(MAX(B104:C104)&lt;informatieblad!$Q$4,informatieblad!$P$3,IF(MAX(B104:C104)&gt;informatieblad!$R$4,informatieblad!$P$5,informatieblad!$P$4)),"")</f>
        <v/>
      </c>
      <c r="D105" s="504"/>
      <c r="E105" s="527"/>
      <c r="F105" s="505" t="str">
        <f>A104&amp;"-"&amp;informatieblad!$B$21&amp;"-"&amp;B104&amp;"-"&amp;C104&amp;"-"&amp;D104&amp;"-"&amp;E104&amp;"-"&amp;B105&amp;"-"&amp;C105&amp;"-"&amp;G106</f>
        <v>-RctV-------Options None</v>
      </c>
      <c r="G105" s="528"/>
      <c r="H105" s="528"/>
      <c r="I105" s="529"/>
      <c r="J105" s="83"/>
      <c r="K105" s="64"/>
      <c r="L105" s="64"/>
      <c r="M105" s="103">
        <f t="shared" ref="M105" si="338">A104</f>
        <v>0</v>
      </c>
      <c r="N105" s="104" t="s">
        <v>39</v>
      </c>
      <c r="O105" s="104" t="s">
        <v>39</v>
      </c>
      <c r="P105" s="104" t="s">
        <v>40</v>
      </c>
      <c r="Q105" s="104" t="s">
        <v>40</v>
      </c>
      <c r="R105" s="104" t="s">
        <v>40</v>
      </c>
      <c r="S105" s="105"/>
      <c r="T105" s="106" t="s">
        <v>27</v>
      </c>
      <c r="U105" s="106" t="s">
        <v>40</v>
      </c>
      <c r="V105" s="106" t="s">
        <v>41</v>
      </c>
      <c r="W105" s="104" t="s">
        <v>42</v>
      </c>
      <c r="X105" s="104" t="s">
        <v>43</v>
      </c>
      <c r="Y105" s="104"/>
      <c r="Z105" s="104" t="s">
        <v>44</v>
      </c>
      <c r="AA105" s="107"/>
      <c r="AB105" s="104" t="s">
        <v>45</v>
      </c>
      <c r="AC105" s="104" t="s">
        <v>42</v>
      </c>
      <c r="AD105" s="104" t="s">
        <v>43</v>
      </c>
      <c r="AE105" s="104" t="s">
        <v>46</v>
      </c>
      <c r="AF105" s="108"/>
      <c r="AG105" s="109"/>
      <c r="AH105" s="64"/>
      <c r="AI105" s="262" t="str">
        <f>informatieblad!$A$2</f>
        <v>FL20 loose</v>
      </c>
      <c r="AJ105" s="263"/>
      <c r="AK105" s="262" t="str">
        <f>informatieblad!$A$3</f>
        <v>FL30 loose</v>
      </c>
      <c r="AL105" s="105"/>
      <c r="AM105" s="263" t="str">
        <f>informatieblad!$A$4</f>
        <v>FL40 loose</v>
      </c>
      <c r="AN105" s="105"/>
      <c r="AO105" s="265"/>
      <c r="AP105" s="105"/>
      <c r="AQ105" s="64"/>
      <c r="AR105" s="267"/>
      <c r="AS105" s="64"/>
      <c r="AT105" s="83" t="str">
        <f>'UC mounting materials '!$B$10</f>
        <v>Rail 30x15</v>
      </c>
      <c r="AU105" s="327">
        <f t="shared" ref="AU105" si="339">IF(Z106&lt;1000,(Z106+100),0)*C106</f>
        <v>0</v>
      </c>
      <c r="AV105" s="64"/>
      <c r="AW105" s="265" t="s">
        <v>47</v>
      </c>
      <c r="AX105" s="106" t="s">
        <v>48</v>
      </c>
      <c r="AY105" s="83" t="s">
        <v>23</v>
      </c>
      <c r="AZ105" s="83" t="s">
        <v>23</v>
      </c>
      <c r="BA105" s="83" t="s">
        <v>23</v>
      </c>
      <c r="BB105" s="273" t="s">
        <v>23</v>
      </c>
      <c r="BC105" s="83"/>
      <c r="BD105" t="s">
        <v>40</v>
      </c>
      <c r="BE105" s="83" t="s">
        <v>41</v>
      </c>
    </row>
    <row r="106" spans="1:57" ht="15.75" customHeight="1" thickBot="1">
      <c r="A106" s="468"/>
      <c r="B106" s="371" t="s">
        <v>23</v>
      </c>
      <c r="C106" s="412"/>
      <c r="D106" s="94">
        <f>C106*O106</f>
        <v>0</v>
      </c>
      <c r="E106" s="422" t="s">
        <v>24</v>
      </c>
      <c r="F106" s="93"/>
      <c r="G106" s="451" t="s">
        <v>25</v>
      </c>
      <c r="H106" s="530"/>
      <c r="I106" s="531"/>
      <c r="J106" s="83"/>
      <c r="K106" s="64"/>
      <c r="L106" s="64"/>
      <c r="M106" s="111"/>
      <c r="N106" s="112">
        <f t="shared" ref="N106" si="340">(((2*(B104+C104))*D104)/1000000)+(((B104-10)*(C104-10))/1000000)</f>
        <v>1E-4</v>
      </c>
      <c r="O106" s="112">
        <f>((IF(N106&lt;=informatieblad!$I$12,informatieblad!$I$12,IF(N106&gt;=informatieblad!$I$12,N106))))</f>
        <v>0.5</v>
      </c>
      <c r="P106" s="112">
        <f t="shared" ref="P106" si="341">(((2*B104)+(2*C104))*D104)/1000000+(((B104-10)*(C104-10))/1000000)</f>
        <v>1E-4</v>
      </c>
      <c r="Q106" s="112">
        <f>((IF(P106&lt;=informatieblad!$H$12,informatieblad!$H$12,IF(P106&gt;=informatieblad!$H$12,P106))))</f>
        <v>1E-4</v>
      </c>
      <c r="R106" s="113">
        <f t="shared" ref="R106" si="342">(((Q106*X106)+(Q106*U106))*C106)+BD106</f>
        <v>5</v>
      </c>
      <c r="S106" s="114">
        <f t="shared" ref="S106" si="343">(((O106*W106)+(O106*V106))*C106)+(BE106)</f>
        <v>12</v>
      </c>
      <c r="T106" s="115" t="str">
        <f t="shared" ref="T106" si="344">G106</f>
        <v>Options None</v>
      </c>
      <c r="U106" s="116">
        <f>VLOOKUP(G106,informatieblad!$A$37:$D$41,2,FALSE)</f>
        <v>0</v>
      </c>
      <c r="V106" s="116">
        <f>VLOOKUP(G106,informatieblad!$A$37:$D$41,4,FALSE)</f>
        <v>0</v>
      </c>
      <c r="W106" s="117">
        <f t="shared" ref="W106" si="345">((IF(D104&lt;=900,AC106,IF(D104&gt;=900,AE106))))</f>
        <v>45.1248</v>
      </c>
      <c r="X106" s="118">
        <f t="shared" ref="X106" si="346">((IF(D104&lt;=900,AB106,IF(D104&gt;=900,AD106))))</f>
        <v>0</v>
      </c>
      <c r="Y106" s="119"/>
      <c r="Z106" s="119">
        <f t="shared" ref="Z106" si="347">(MAX(B104:C104))</f>
        <v>0</v>
      </c>
      <c r="AA106" s="119">
        <f>LOOKUP(Z106,informatieblad!$C$27:$C$32,informatieblad!$A$27:$A$32)</f>
        <v>0.5</v>
      </c>
      <c r="AB106" s="118">
        <f>VLOOKUP(AA106,informatieblad!$A$27:$M$32,6,FALSE)</f>
        <v>0</v>
      </c>
      <c r="AC106" s="118">
        <f>VLOOKUP(AA106,informatieblad!$A$27:$M$32,8,FALSE)</f>
        <v>45.1248</v>
      </c>
      <c r="AD106" s="118">
        <f>VLOOKUP(AA106,informatieblad!$A$27:$M$32,9,FALSE)</f>
        <v>0</v>
      </c>
      <c r="AE106" s="118">
        <f>VLOOKUP(AA106,informatieblad!$A$27:$M$32,11,FALSE)</f>
        <v>32.463200000000001</v>
      </c>
      <c r="AF106" s="120">
        <f>VLOOKUP(AA106,informatieblad!$A$27:$M$32,13,FALSE)</f>
        <v>4</v>
      </c>
      <c r="AG106" s="121">
        <f t="shared" ref="AG106" si="348">ROUND((AF106*P106),1)</f>
        <v>0</v>
      </c>
      <c r="AH106" s="64"/>
      <c r="AI106" s="111">
        <f t="shared" ref="AI106" si="349">(IF(B105=AI104,((2*B104)+(2*C104)),IF(B105=AI105,((2*B104)+(2*C104)),0)))*C106</f>
        <v>0</v>
      </c>
      <c r="AJ106" s="261">
        <f t="shared" ref="AJ106" si="350">(IF(C105=AI104,((2*B104)+(2*C104)),IF(C105=AI105,((2*B104)+(2*C104)),0)))*C106</f>
        <v>0</v>
      </c>
      <c r="AK106" s="111">
        <f t="shared" ref="AK106" si="351">(IF(B105=AK104,((2*B104)+(2*C104)),IF(B105=AK105,((2*B104)+(2*C104)),0)))*C106</f>
        <v>0</v>
      </c>
      <c r="AL106" s="260">
        <f t="shared" ref="AL106" si="352">(IF(C105=AK104,((2*B104)+(2*C104)),IF(C105=AK105,((2*B104)+(2*C104)),0)))*C106</f>
        <v>0</v>
      </c>
      <c r="AM106" s="261">
        <f t="shared" ref="AM106" si="353">(IF(B105=AM104,((2*B104)+(2*C104)),IF(B105=AM105,((2*B104)+(2*C104)),0)))*C106</f>
        <v>0</v>
      </c>
      <c r="AN106" s="260">
        <f t="shared" ref="AN106" si="354">(IF(C105=AM104,((2*B104)+(2*C104)),IF(C105=AM105,((2*B104)+(2*C104)),0)))*C106</f>
        <v>0</v>
      </c>
      <c r="AO106" s="111">
        <f t="shared" ref="AO106" si="355">(IF(B105=AO104,((2*B104)+(2*C104)),0))*C106</f>
        <v>0</v>
      </c>
      <c r="AP106" s="260">
        <f t="shared" ref="AP106" si="356">(IF(C105=AO104,((2*B104)+(2*C104)),0))*C106</f>
        <v>0</v>
      </c>
      <c r="AQ106" s="64"/>
      <c r="AR106" s="268">
        <f t="shared" ref="AR106" si="357">D104*C106</f>
        <v>0</v>
      </c>
      <c r="AS106" s="64"/>
      <c r="AT106" s="83" t="str">
        <f>'UC mounting materials '!$B$11</f>
        <v>Rail 41x41</v>
      </c>
      <c r="AU106" s="268">
        <f t="shared" ref="AU106" si="358">IF(Z106&gt;999,(Z106+100),0)*C106</f>
        <v>0</v>
      </c>
      <c r="AV106" s="64"/>
      <c r="AW106" s="111" t="str">
        <f>IF(B105=informatieblad!$A$6,informatieblad!$B$6,IF(B105=informatieblad!$A$7,informatieblad!$B$7,IF(B105=informatieblad!$A$8,informatieblad!$B$8,IF(B105=informatieblad!$A$2,informatieblad!$B$2,IF(B105=informatieblad!$A$3,informatieblad!$B$3,IF(B105=informatieblad!$A$4,informatieblad!$B$4,IF(B105=informatieblad!$A$5,informatieblad!$B$5,"")))))))</f>
        <v/>
      </c>
      <c r="AX106" s="275" t="str">
        <f>IF(C105=informatieblad!$A$6,informatieblad!$B$6,IF(C105=informatieblad!$A$7,informatieblad!$B$7,IF(C105=informatieblad!$A$8,informatieblad!$B$8,IF(C105=informatieblad!$A$2,informatieblad!$B$2,IF(C105=informatieblad!$A$3,informatieblad!$B$3,IF(C105=informatieblad!$A$4,informatieblad!$B$4,IF(C105=informatieblad!$A$5,informatieblad!$B$5,"")))))))</f>
        <v/>
      </c>
      <c r="AY106" s="276">
        <f t="shared" ref="AY106" si="359">IF(AW106=AY104,(4*C106),0)</f>
        <v>0</v>
      </c>
      <c r="AZ106" s="276">
        <f t="shared" ref="AZ106" si="360">IF(AX106=AY104,(4*C106),0)</f>
        <v>0</v>
      </c>
      <c r="BA106" s="276">
        <f t="shared" ref="BA106" si="361">IF(AW106=BA104,(4*C106),0)</f>
        <v>0</v>
      </c>
      <c r="BB106" s="274">
        <f t="shared" ref="BB106" si="362">IF(AX106=BA104,(4*C106),0)</f>
        <v>0</v>
      </c>
      <c r="BC106" s="83"/>
      <c r="BD106" s="374">
        <v>5</v>
      </c>
      <c r="BE106">
        <f t="shared" ref="BE106" si="363">BD106*2.4</f>
        <v>12</v>
      </c>
    </row>
    <row r="107" spans="1:57" ht="5.0999999999999996" customHeight="1" thickBot="1">
      <c r="A107" s="88"/>
      <c r="B107" s="88"/>
      <c r="C107" s="88"/>
      <c r="D107" s="88"/>
      <c r="F107" s="88"/>
      <c r="G107" s="88"/>
      <c r="H107" s="88"/>
      <c r="I107" s="88"/>
      <c r="J107" s="83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83"/>
      <c r="AJ107" s="83"/>
      <c r="AK107" s="83"/>
      <c r="AL107" s="83"/>
      <c r="AM107" s="83"/>
      <c r="AN107" s="83"/>
      <c r="AO107" s="83"/>
      <c r="AP107" s="83"/>
      <c r="AQ107" s="64"/>
      <c r="AR107" s="83"/>
      <c r="AS107" s="64"/>
      <c r="AT107" s="64"/>
      <c r="AU107" s="83"/>
      <c r="AV107" s="64"/>
      <c r="AW107" s="83"/>
      <c r="AX107" s="83"/>
      <c r="AY107" s="83"/>
      <c r="AZ107" s="83"/>
      <c r="BA107" s="83"/>
      <c r="BB107" s="83"/>
      <c r="BC107" s="83"/>
    </row>
    <row r="108" spans="1:57" ht="15.75" customHeight="1" thickBot="1">
      <c r="A108" s="445"/>
      <c r="B108" s="96"/>
      <c r="C108" s="96"/>
      <c r="D108" s="96"/>
      <c r="E108" s="96"/>
      <c r="F108" s="421"/>
      <c r="G108" s="423" t="s">
        <v>181</v>
      </c>
      <c r="H108" s="424">
        <f>ROUND(((B108*C108)/1000000),2)</f>
        <v>0</v>
      </c>
      <c r="I108" s="425" t="s">
        <v>24</v>
      </c>
      <c r="J108" s="366" t="s">
        <v>20</v>
      </c>
      <c r="K108" s="64"/>
      <c r="L108" s="64"/>
      <c r="M108" s="97" t="s">
        <v>26</v>
      </c>
      <c r="N108" s="98" t="s">
        <v>27</v>
      </c>
      <c r="O108" s="98" t="s">
        <v>28</v>
      </c>
      <c r="P108" s="98" t="s">
        <v>27</v>
      </c>
      <c r="Q108" s="98" t="s">
        <v>28</v>
      </c>
      <c r="R108" s="98" t="s">
        <v>29</v>
      </c>
      <c r="S108" s="66" t="s">
        <v>30</v>
      </c>
      <c r="T108" s="99" t="s">
        <v>31</v>
      </c>
      <c r="U108" s="99"/>
      <c r="V108" s="99"/>
      <c r="W108" s="98" t="s">
        <v>32</v>
      </c>
      <c r="X108" s="98" t="s">
        <v>32</v>
      </c>
      <c r="Y108" s="98"/>
      <c r="Z108" s="98" t="s">
        <v>33</v>
      </c>
      <c r="AA108" s="100" t="s">
        <v>34</v>
      </c>
      <c r="AB108" s="98" t="s">
        <v>32</v>
      </c>
      <c r="AC108" s="98" t="s">
        <v>32</v>
      </c>
      <c r="AD108" s="98" t="s">
        <v>32</v>
      </c>
      <c r="AE108" s="98" t="s">
        <v>32</v>
      </c>
      <c r="AF108" s="98" t="s">
        <v>35</v>
      </c>
      <c r="AG108" s="101" t="s">
        <v>36</v>
      </c>
      <c r="AH108" s="64"/>
      <c r="AI108" s="97" t="str">
        <f>informatieblad!$A$6</f>
        <v>FL20</v>
      </c>
      <c r="AJ108" s="99"/>
      <c r="AK108" s="97" t="str">
        <f>informatieblad!$A$7</f>
        <v>FL30</v>
      </c>
      <c r="AL108" s="66"/>
      <c r="AM108" s="99" t="str">
        <f>informatieblad!$A$8</f>
        <v>FL40</v>
      </c>
      <c r="AN108" s="66"/>
      <c r="AO108" s="97" t="str">
        <f>informatieblad!$A$5</f>
        <v>none</v>
      </c>
      <c r="AP108" s="264"/>
      <c r="AQ108" s="64"/>
      <c r="AR108" s="266" t="s">
        <v>17</v>
      </c>
      <c r="AS108" s="64"/>
      <c r="AT108" s="64"/>
      <c r="AU108" s="266" t="s">
        <v>37</v>
      </c>
      <c r="AV108" s="64"/>
      <c r="AW108" s="269" t="s">
        <v>38</v>
      </c>
      <c r="AX108" s="272"/>
      <c r="AY108" s="272">
        <f>informatieblad!$B$3</f>
        <v>0</v>
      </c>
      <c r="AZ108" s="272">
        <f>informatieblad!$B$3</f>
        <v>0</v>
      </c>
      <c r="BA108" s="272">
        <f>informatieblad!$B$4</f>
        <v>0</v>
      </c>
      <c r="BB108" s="264">
        <f>informatieblad!$B$4</f>
        <v>0</v>
      </c>
      <c r="BC108" s="83"/>
      <c r="BD108" t="s">
        <v>182</v>
      </c>
    </row>
    <row r="109" spans="1:57" ht="15" customHeight="1">
      <c r="A109" s="467"/>
      <c r="B109" s="102" t="str">
        <f>IF($C110&gt;0,IF(MAX(B108:C108)&lt;informatieblad!$Q$4,informatieblad!$P$3,IF(MAX(B108:C108)&gt;informatieblad!$R$4,informatieblad!$P$5,informatieblad!$P$4)),"")</f>
        <v/>
      </c>
      <c r="C109" s="102" t="str">
        <f>IF($C110&gt;0,IF(MAX(B108:C108)&lt;informatieblad!$Q$4,informatieblad!$P$3,IF(MAX(B108:C108)&gt;informatieblad!$R$4,informatieblad!$P$5,informatieblad!$P$4)),"")</f>
        <v/>
      </c>
      <c r="D109" s="504"/>
      <c r="E109" s="527"/>
      <c r="F109" s="505" t="str">
        <f>A108&amp;"-"&amp;informatieblad!$B$21&amp;"-"&amp;B108&amp;"-"&amp;C108&amp;"-"&amp;D108&amp;"-"&amp;E108&amp;"-"&amp;B109&amp;"-"&amp;C109&amp;"-"&amp;G110</f>
        <v>-RctV-------Options None</v>
      </c>
      <c r="G109" s="528"/>
      <c r="H109" s="528"/>
      <c r="I109" s="529"/>
      <c r="J109" s="83"/>
      <c r="K109" s="64"/>
      <c r="L109" s="64"/>
      <c r="M109" s="103">
        <f t="shared" ref="M109" si="364">A108</f>
        <v>0</v>
      </c>
      <c r="N109" s="104" t="s">
        <v>39</v>
      </c>
      <c r="O109" s="104" t="s">
        <v>39</v>
      </c>
      <c r="P109" s="104" t="s">
        <v>40</v>
      </c>
      <c r="Q109" s="104" t="s">
        <v>40</v>
      </c>
      <c r="R109" s="104" t="s">
        <v>40</v>
      </c>
      <c r="S109" s="105"/>
      <c r="T109" s="106" t="s">
        <v>27</v>
      </c>
      <c r="U109" s="106" t="s">
        <v>40</v>
      </c>
      <c r="V109" s="106" t="s">
        <v>41</v>
      </c>
      <c r="W109" s="104" t="s">
        <v>42</v>
      </c>
      <c r="X109" s="104" t="s">
        <v>43</v>
      </c>
      <c r="Y109" s="104"/>
      <c r="Z109" s="104" t="s">
        <v>44</v>
      </c>
      <c r="AA109" s="107"/>
      <c r="AB109" s="104" t="s">
        <v>45</v>
      </c>
      <c r="AC109" s="104" t="s">
        <v>42</v>
      </c>
      <c r="AD109" s="104" t="s">
        <v>43</v>
      </c>
      <c r="AE109" s="104" t="s">
        <v>46</v>
      </c>
      <c r="AF109" s="108"/>
      <c r="AG109" s="109"/>
      <c r="AH109" s="64"/>
      <c r="AI109" s="262" t="str">
        <f>informatieblad!$A$2</f>
        <v>FL20 loose</v>
      </c>
      <c r="AJ109" s="263"/>
      <c r="AK109" s="262" t="str">
        <f>informatieblad!$A$3</f>
        <v>FL30 loose</v>
      </c>
      <c r="AL109" s="105"/>
      <c r="AM109" s="263" t="str">
        <f>informatieblad!$A$4</f>
        <v>FL40 loose</v>
      </c>
      <c r="AN109" s="105"/>
      <c r="AO109" s="265"/>
      <c r="AP109" s="105"/>
      <c r="AQ109" s="64"/>
      <c r="AR109" s="267"/>
      <c r="AS109" s="64"/>
      <c r="AT109" s="83" t="str">
        <f>'UC mounting materials '!$B$10</f>
        <v>Rail 30x15</v>
      </c>
      <c r="AU109" s="327">
        <f t="shared" ref="AU109" si="365">IF(Z110&lt;1000,(Z110+100),0)*C110</f>
        <v>0</v>
      </c>
      <c r="AV109" s="64"/>
      <c r="AW109" s="265" t="s">
        <v>47</v>
      </c>
      <c r="AX109" s="106" t="s">
        <v>48</v>
      </c>
      <c r="AY109" s="83" t="s">
        <v>23</v>
      </c>
      <c r="AZ109" s="83" t="s">
        <v>23</v>
      </c>
      <c r="BA109" s="83" t="s">
        <v>23</v>
      </c>
      <c r="BB109" s="273" t="s">
        <v>23</v>
      </c>
      <c r="BC109" s="83"/>
      <c r="BD109" t="s">
        <v>40</v>
      </c>
      <c r="BE109" s="83" t="s">
        <v>41</v>
      </c>
    </row>
    <row r="110" spans="1:57" ht="15.75" customHeight="1" thickBot="1">
      <c r="A110" s="468"/>
      <c r="B110" s="371" t="s">
        <v>23</v>
      </c>
      <c r="C110" s="412"/>
      <c r="D110" s="94">
        <f>C110*O110</f>
        <v>0</v>
      </c>
      <c r="E110" s="422" t="s">
        <v>24</v>
      </c>
      <c r="F110" s="93"/>
      <c r="G110" s="451" t="s">
        <v>25</v>
      </c>
      <c r="H110" s="530"/>
      <c r="I110" s="531"/>
      <c r="J110" s="83"/>
      <c r="K110" s="64"/>
      <c r="L110" s="64"/>
      <c r="M110" s="111"/>
      <c r="N110" s="112">
        <f t="shared" ref="N110" si="366">(((2*(B108+C108))*D108)/1000000)+(((B108-10)*(C108-10))/1000000)</f>
        <v>1E-4</v>
      </c>
      <c r="O110" s="112">
        <f>((IF(N110&lt;=informatieblad!$I$12,informatieblad!$I$12,IF(N110&gt;=informatieblad!$I$12,N110))))</f>
        <v>0.5</v>
      </c>
      <c r="P110" s="112">
        <f t="shared" ref="P110" si="367">(((2*B108)+(2*C108))*D108)/1000000+(((B108-10)*(C108-10))/1000000)</f>
        <v>1E-4</v>
      </c>
      <c r="Q110" s="112">
        <f>((IF(P110&lt;=informatieblad!$H$12,informatieblad!$H$12,IF(P110&gt;=informatieblad!$H$12,P110))))</f>
        <v>1E-4</v>
      </c>
      <c r="R110" s="113">
        <f t="shared" ref="R110" si="368">(((Q110*X110)+(Q110*U110))*C110)+BD110</f>
        <v>5</v>
      </c>
      <c r="S110" s="114">
        <f t="shared" ref="S110" si="369">(((O110*W110)+(O110*V110))*C110)+(BE110)</f>
        <v>12</v>
      </c>
      <c r="T110" s="115" t="str">
        <f t="shared" ref="T110" si="370">G110</f>
        <v>Options None</v>
      </c>
      <c r="U110" s="116">
        <f>VLOOKUP(G110,informatieblad!$A$37:$D$41,2,FALSE)</f>
        <v>0</v>
      </c>
      <c r="V110" s="116">
        <f>VLOOKUP(G110,informatieblad!$A$37:$D$41,4,FALSE)</f>
        <v>0</v>
      </c>
      <c r="W110" s="117">
        <f t="shared" ref="W110" si="371">((IF(D108&lt;=900,AC110,IF(D108&gt;=900,AE110))))</f>
        <v>45.1248</v>
      </c>
      <c r="X110" s="118">
        <f t="shared" ref="X110" si="372">((IF(D108&lt;=900,AB110,IF(D108&gt;=900,AD110))))</f>
        <v>0</v>
      </c>
      <c r="Y110" s="119"/>
      <c r="Z110" s="119">
        <f t="shared" ref="Z110" si="373">(MAX(B108:C108))</f>
        <v>0</v>
      </c>
      <c r="AA110" s="119">
        <f>LOOKUP(Z110,informatieblad!$C$27:$C$32,informatieblad!$A$27:$A$32)</f>
        <v>0.5</v>
      </c>
      <c r="AB110" s="118">
        <f>VLOOKUP(AA110,informatieblad!$A$27:$M$32,6,FALSE)</f>
        <v>0</v>
      </c>
      <c r="AC110" s="118">
        <f>VLOOKUP(AA110,informatieblad!$A$27:$M$32,8,FALSE)</f>
        <v>45.1248</v>
      </c>
      <c r="AD110" s="118">
        <f>VLOOKUP(AA110,informatieblad!$A$27:$M$32,9,FALSE)</f>
        <v>0</v>
      </c>
      <c r="AE110" s="118">
        <f>VLOOKUP(AA110,informatieblad!$A$27:$M$32,11,FALSE)</f>
        <v>32.463200000000001</v>
      </c>
      <c r="AF110" s="120">
        <f>VLOOKUP(AA110,informatieblad!$A$27:$M$32,13,FALSE)</f>
        <v>4</v>
      </c>
      <c r="AG110" s="121">
        <f t="shared" ref="AG110" si="374">ROUND((AF110*P110),1)</f>
        <v>0</v>
      </c>
      <c r="AH110" s="64"/>
      <c r="AI110" s="111">
        <f t="shared" ref="AI110" si="375">(IF(B109=AI108,((2*B108)+(2*C108)),IF(B109=AI109,((2*B108)+(2*C108)),0)))*C110</f>
        <v>0</v>
      </c>
      <c r="AJ110" s="261">
        <f t="shared" ref="AJ110" si="376">(IF(C109=AI108,((2*B108)+(2*C108)),IF(C109=AI109,((2*B108)+(2*C108)),0)))*C110</f>
        <v>0</v>
      </c>
      <c r="AK110" s="111">
        <f t="shared" ref="AK110" si="377">(IF(B109=AK108,((2*B108)+(2*C108)),IF(B109=AK109,((2*B108)+(2*C108)),0)))*C110</f>
        <v>0</v>
      </c>
      <c r="AL110" s="260">
        <f t="shared" ref="AL110" si="378">(IF(C109=AK108,((2*B108)+(2*C108)),IF(C109=AK109,((2*B108)+(2*C108)),0)))*C110</f>
        <v>0</v>
      </c>
      <c r="AM110" s="261">
        <f t="shared" ref="AM110" si="379">(IF(B109=AM108,((2*B108)+(2*C108)),IF(B109=AM109,((2*B108)+(2*C108)),0)))*C110</f>
        <v>0</v>
      </c>
      <c r="AN110" s="260">
        <f t="shared" ref="AN110" si="380">(IF(C109=AM108,((2*B108)+(2*C108)),IF(C109=AM109,((2*B108)+(2*C108)),0)))*C110</f>
        <v>0</v>
      </c>
      <c r="AO110" s="111">
        <f t="shared" ref="AO110" si="381">(IF(B109=AO108,((2*B108)+(2*C108)),0))*C110</f>
        <v>0</v>
      </c>
      <c r="AP110" s="260">
        <f t="shared" ref="AP110" si="382">(IF(C109=AO108,((2*B108)+(2*C108)),0))*C110</f>
        <v>0</v>
      </c>
      <c r="AQ110" s="64"/>
      <c r="AR110" s="268">
        <f t="shared" ref="AR110" si="383">D108*C110</f>
        <v>0</v>
      </c>
      <c r="AS110" s="64"/>
      <c r="AT110" s="83" t="str">
        <f>'UC mounting materials '!$B$11</f>
        <v>Rail 41x41</v>
      </c>
      <c r="AU110" s="268">
        <f t="shared" ref="AU110" si="384">IF(Z110&gt;999,(Z110+100),0)*C110</f>
        <v>0</v>
      </c>
      <c r="AV110" s="64"/>
      <c r="AW110" s="111" t="str">
        <f>IF(B109=informatieblad!$A$6,informatieblad!$B$6,IF(B109=informatieblad!$A$7,informatieblad!$B$7,IF(B109=informatieblad!$A$8,informatieblad!$B$8,IF(B109=informatieblad!$A$2,informatieblad!$B$2,IF(B109=informatieblad!$A$3,informatieblad!$B$3,IF(B109=informatieblad!$A$4,informatieblad!$B$4,IF(B109=informatieblad!$A$5,informatieblad!$B$5,"")))))))</f>
        <v/>
      </c>
      <c r="AX110" s="275" t="str">
        <f>IF(C109=informatieblad!$A$6,informatieblad!$B$6,IF(C109=informatieblad!$A$7,informatieblad!$B$7,IF(C109=informatieblad!$A$8,informatieblad!$B$8,IF(C109=informatieblad!$A$2,informatieblad!$B$2,IF(C109=informatieblad!$A$3,informatieblad!$B$3,IF(C109=informatieblad!$A$4,informatieblad!$B$4,IF(C109=informatieblad!$A$5,informatieblad!$B$5,"")))))))</f>
        <v/>
      </c>
      <c r="AY110" s="276">
        <f t="shared" ref="AY110" si="385">IF(AW110=AY108,(4*C110),0)</f>
        <v>0</v>
      </c>
      <c r="AZ110" s="276">
        <f t="shared" ref="AZ110" si="386">IF(AX110=AY108,(4*C110),0)</f>
        <v>0</v>
      </c>
      <c r="BA110" s="276">
        <f t="shared" ref="BA110" si="387">IF(AW110=BA108,(4*C110),0)</f>
        <v>0</v>
      </c>
      <c r="BB110" s="274">
        <f t="shared" ref="BB110" si="388">IF(AX110=BA108,(4*C110),0)</f>
        <v>0</v>
      </c>
      <c r="BC110" s="83"/>
      <c r="BD110" s="374">
        <v>5</v>
      </c>
      <c r="BE110">
        <f t="shared" ref="BE110" si="389">BD110*2.4</f>
        <v>12</v>
      </c>
    </row>
    <row r="111" spans="1:57" ht="5.0999999999999996" customHeight="1" thickBot="1">
      <c r="A111" s="88"/>
      <c r="B111" s="88"/>
      <c r="C111" s="88"/>
      <c r="D111" s="88"/>
      <c r="F111" s="88"/>
      <c r="G111" s="88"/>
      <c r="H111" s="88"/>
      <c r="I111" s="88"/>
      <c r="J111" s="83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83"/>
      <c r="AJ111" s="83"/>
      <c r="AK111" s="83"/>
      <c r="AL111" s="83"/>
      <c r="AM111" s="83"/>
      <c r="AN111" s="83"/>
      <c r="AO111" s="83"/>
      <c r="AP111" s="83"/>
      <c r="AQ111" s="64"/>
      <c r="AR111" s="83"/>
      <c r="AS111" s="64"/>
      <c r="AT111" s="64"/>
      <c r="AU111" s="83"/>
      <c r="AV111" s="64"/>
      <c r="AW111" s="83"/>
      <c r="AX111" s="83"/>
      <c r="AY111" s="83"/>
      <c r="AZ111" s="83"/>
      <c r="BA111" s="83"/>
      <c r="BB111" s="83"/>
      <c r="BC111" s="83"/>
    </row>
    <row r="112" spans="1:57" ht="15.75" customHeight="1" thickBot="1">
      <c r="A112" s="445"/>
      <c r="B112" s="96"/>
      <c r="C112" s="96"/>
      <c r="D112" s="96"/>
      <c r="E112" s="96"/>
      <c r="F112" s="421"/>
      <c r="G112" s="423" t="s">
        <v>181</v>
      </c>
      <c r="H112" s="424">
        <f>ROUND(((B112*C112)/1000000),2)</f>
        <v>0</v>
      </c>
      <c r="I112" s="425" t="s">
        <v>24</v>
      </c>
      <c r="J112" s="366" t="s">
        <v>20</v>
      </c>
      <c r="K112" s="64"/>
      <c r="L112" s="64"/>
      <c r="M112" s="97" t="s">
        <v>26</v>
      </c>
      <c r="N112" s="98" t="s">
        <v>27</v>
      </c>
      <c r="O112" s="98" t="s">
        <v>28</v>
      </c>
      <c r="P112" s="98" t="s">
        <v>27</v>
      </c>
      <c r="Q112" s="98" t="s">
        <v>28</v>
      </c>
      <c r="R112" s="98" t="s">
        <v>29</v>
      </c>
      <c r="S112" s="66" t="s">
        <v>30</v>
      </c>
      <c r="T112" s="99" t="s">
        <v>31</v>
      </c>
      <c r="U112" s="99"/>
      <c r="V112" s="99"/>
      <c r="W112" s="98" t="s">
        <v>32</v>
      </c>
      <c r="X112" s="98" t="s">
        <v>32</v>
      </c>
      <c r="Y112" s="98"/>
      <c r="Z112" s="98" t="s">
        <v>33</v>
      </c>
      <c r="AA112" s="100" t="s">
        <v>34</v>
      </c>
      <c r="AB112" s="98" t="s">
        <v>32</v>
      </c>
      <c r="AC112" s="98" t="s">
        <v>32</v>
      </c>
      <c r="AD112" s="98" t="s">
        <v>32</v>
      </c>
      <c r="AE112" s="98" t="s">
        <v>32</v>
      </c>
      <c r="AF112" s="98" t="s">
        <v>35</v>
      </c>
      <c r="AG112" s="101" t="s">
        <v>36</v>
      </c>
      <c r="AH112" s="64"/>
      <c r="AI112" s="97" t="str">
        <f>informatieblad!$A$6</f>
        <v>FL20</v>
      </c>
      <c r="AJ112" s="99"/>
      <c r="AK112" s="97" t="str">
        <f>informatieblad!$A$7</f>
        <v>FL30</v>
      </c>
      <c r="AL112" s="66"/>
      <c r="AM112" s="99" t="str">
        <f>informatieblad!$A$8</f>
        <v>FL40</v>
      </c>
      <c r="AN112" s="66"/>
      <c r="AO112" s="97" t="str">
        <f>informatieblad!$A$5</f>
        <v>none</v>
      </c>
      <c r="AP112" s="264"/>
      <c r="AQ112" s="64"/>
      <c r="AR112" s="266" t="s">
        <v>17</v>
      </c>
      <c r="AS112" s="64"/>
      <c r="AT112" s="64"/>
      <c r="AU112" s="266" t="s">
        <v>37</v>
      </c>
      <c r="AV112" s="64"/>
      <c r="AW112" s="269" t="s">
        <v>38</v>
      </c>
      <c r="AX112" s="272"/>
      <c r="AY112" s="272">
        <f>informatieblad!$B$3</f>
        <v>0</v>
      </c>
      <c r="AZ112" s="272">
        <f>informatieblad!$B$3</f>
        <v>0</v>
      </c>
      <c r="BA112" s="272">
        <f>informatieblad!$B$4</f>
        <v>0</v>
      </c>
      <c r="BB112" s="264">
        <f>informatieblad!$B$4</f>
        <v>0</v>
      </c>
      <c r="BC112" s="83"/>
      <c r="BD112" t="s">
        <v>182</v>
      </c>
    </row>
    <row r="113" spans="1:57" ht="15" customHeight="1">
      <c r="A113" s="467"/>
      <c r="B113" s="102" t="str">
        <f>IF($C114&gt;0,IF(MAX(B112:C112)&lt;informatieblad!$Q$4,informatieblad!$P$3,IF(MAX(B112:C112)&gt;informatieblad!$R$4,informatieblad!$P$5,informatieblad!$P$4)),"")</f>
        <v/>
      </c>
      <c r="C113" s="102" t="str">
        <f>IF($C114&gt;0,IF(MAX(B112:C112)&lt;informatieblad!$Q$4,informatieblad!$P$3,IF(MAX(B112:C112)&gt;informatieblad!$R$4,informatieblad!$P$5,informatieblad!$P$4)),"")</f>
        <v/>
      </c>
      <c r="D113" s="504"/>
      <c r="E113" s="527"/>
      <c r="F113" s="505" t="str">
        <f>A112&amp;"-"&amp;informatieblad!$B$21&amp;"-"&amp;B112&amp;"-"&amp;C112&amp;"-"&amp;D112&amp;"-"&amp;E112&amp;"-"&amp;B113&amp;"-"&amp;C113&amp;"-"&amp;G114</f>
        <v>-RctV-------Options None</v>
      </c>
      <c r="G113" s="528"/>
      <c r="H113" s="528"/>
      <c r="I113" s="529"/>
      <c r="J113" s="83"/>
      <c r="K113" s="64"/>
      <c r="L113" s="64"/>
      <c r="M113" s="103">
        <f t="shared" ref="M113" si="390">A112</f>
        <v>0</v>
      </c>
      <c r="N113" s="104" t="s">
        <v>39</v>
      </c>
      <c r="O113" s="104" t="s">
        <v>39</v>
      </c>
      <c r="P113" s="104" t="s">
        <v>40</v>
      </c>
      <c r="Q113" s="104" t="s">
        <v>40</v>
      </c>
      <c r="R113" s="104" t="s">
        <v>40</v>
      </c>
      <c r="S113" s="105"/>
      <c r="T113" s="106" t="s">
        <v>27</v>
      </c>
      <c r="U113" s="106" t="s">
        <v>40</v>
      </c>
      <c r="V113" s="106" t="s">
        <v>41</v>
      </c>
      <c r="W113" s="104" t="s">
        <v>42</v>
      </c>
      <c r="X113" s="104" t="s">
        <v>43</v>
      </c>
      <c r="Y113" s="104"/>
      <c r="Z113" s="104" t="s">
        <v>44</v>
      </c>
      <c r="AA113" s="107"/>
      <c r="AB113" s="104" t="s">
        <v>45</v>
      </c>
      <c r="AC113" s="104" t="s">
        <v>42</v>
      </c>
      <c r="AD113" s="104" t="s">
        <v>43</v>
      </c>
      <c r="AE113" s="104" t="s">
        <v>46</v>
      </c>
      <c r="AF113" s="108"/>
      <c r="AG113" s="109"/>
      <c r="AH113" s="64"/>
      <c r="AI113" s="262" t="str">
        <f>informatieblad!$A$2</f>
        <v>FL20 loose</v>
      </c>
      <c r="AJ113" s="263"/>
      <c r="AK113" s="262" t="str">
        <f>informatieblad!$A$3</f>
        <v>FL30 loose</v>
      </c>
      <c r="AL113" s="105"/>
      <c r="AM113" s="263" t="str">
        <f>informatieblad!$A$4</f>
        <v>FL40 loose</v>
      </c>
      <c r="AN113" s="105"/>
      <c r="AO113" s="265"/>
      <c r="AP113" s="105"/>
      <c r="AQ113" s="64"/>
      <c r="AR113" s="267"/>
      <c r="AS113" s="64"/>
      <c r="AT113" s="83" t="str">
        <f>'UC mounting materials '!$B$10</f>
        <v>Rail 30x15</v>
      </c>
      <c r="AU113" s="327">
        <f t="shared" ref="AU113" si="391">IF(Z114&lt;1000,(Z114+100),0)*C114</f>
        <v>0</v>
      </c>
      <c r="AV113" s="64"/>
      <c r="AW113" s="265" t="s">
        <v>47</v>
      </c>
      <c r="AX113" s="106" t="s">
        <v>48</v>
      </c>
      <c r="AY113" s="83" t="s">
        <v>23</v>
      </c>
      <c r="AZ113" s="83" t="s">
        <v>23</v>
      </c>
      <c r="BA113" s="83" t="s">
        <v>23</v>
      </c>
      <c r="BB113" s="273" t="s">
        <v>23</v>
      </c>
      <c r="BC113" s="83"/>
      <c r="BD113" t="s">
        <v>40</v>
      </c>
      <c r="BE113" s="83" t="s">
        <v>41</v>
      </c>
    </row>
    <row r="114" spans="1:57" ht="15.75" customHeight="1" thickBot="1">
      <c r="A114" s="468"/>
      <c r="B114" s="371" t="s">
        <v>23</v>
      </c>
      <c r="C114" s="412"/>
      <c r="D114" s="94">
        <f>C114*O114</f>
        <v>0</v>
      </c>
      <c r="E114" s="422" t="s">
        <v>24</v>
      </c>
      <c r="F114" s="93"/>
      <c r="G114" s="451" t="s">
        <v>25</v>
      </c>
      <c r="H114" s="530"/>
      <c r="I114" s="531"/>
      <c r="J114" s="83"/>
      <c r="K114" s="64"/>
      <c r="L114" s="64"/>
      <c r="M114" s="111"/>
      <c r="N114" s="112">
        <f>(((2*(B112+C112))*D112)/1000000)+(((B112-10)*(C112-10))/1000000)</f>
        <v>1E-4</v>
      </c>
      <c r="O114" s="112">
        <f>((IF(N114&lt;=informatieblad!$I$12,informatieblad!$I$12,IF(N114&gt;=informatieblad!$I$12,N114))))</f>
        <v>0.5</v>
      </c>
      <c r="P114" s="112">
        <f t="shared" ref="P114" si="392">(((2*B112)+(2*C112))*D112)/1000000+(((B112-10)*(C112-10))/1000000)</f>
        <v>1E-4</v>
      </c>
      <c r="Q114" s="112">
        <f>((IF(P114&lt;=informatieblad!$H$12,informatieblad!$H$12,IF(P114&gt;=informatieblad!$H$12,P114))))</f>
        <v>1E-4</v>
      </c>
      <c r="R114" s="113">
        <f t="shared" ref="R114" si="393">(((Q114*X114)+(Q114*U114))*C114)+BD114</f>
        <v>5</v>
      </c>
      <c r="S114" s="114">
        <f t="shared" ref="S114" si="394">(((O114*W114)+(O114*V114))*C114)+(BE114)</f>
        <v>12</v>
      </c>
      <c r="T114" s="115" t="str">
        <f t="shared" ref="T114" si="395">G114</f>
        <v>Options None</v>
      </c>
      <c r="U114" s="116">
        <f>VLOOKUP(G114,informatieblad!$A$37:$D$41,2,FALSE)</f>
        <v>0</v>
      </c>
      <c r="V114" s="116">
        <f>VLOOKUP(G114,informatieblad!$A$37:$D$41,4,FALSE)</f>
        <v>0</v>
      </c>
      <c r="W114" s="117">
        <f t="shared" ref="W114" si="396">((IF(D112&lt;=900,AC114,IF(D112&gt;=900,AE114))))</f>
        <v>45.1248</v>
      </c>
      <c r="X114" s="118">
        <f t="shared" ref="X114" si="397">((IF(D112&lt;=900,AB114,IF(D112&gt;=900,AD114))))</f>
        <v>0</v>
      </c>
      <c r="Y114" s="119"/>
      <c r="Z114" s="119">
        <f t="shared" ref="Z114" si="398">(MAX(B112:C112))</f>
        <v>0</v>
      </c>
      <c r="AA114" s="119">
        <f>LOOKUP(Z114,informatieblad!$C$27:$C$32,informatieblad!$A$27:$A$32)</f>
        <v>0.5</v>
      </c>
      <c r="AB114" s="118">
        <f>VLOOKUP(AA114,informatieblad!$A$27:$M$32,6,FALSE)</f>
        <v>0</v>
      </c>
      <c r="AC114" s="118">
        <f>VLOOKUP(AA114,informatieblad!$A$27:$M$32,8,FALSE)</f>
        <v>45.1248</v>
      </c>
      <c r="AD114" s="118">
        <f>VLOOKUP(AA114,informatieblad!$A$27:$M$32,9,FALSE)</f>
        <v>0</v>
      </c>
      <c r="AE114" s="118">
        <f>VLOOKUP(AA114,informatieblad!$A$27:$M$32,11,FALSE)</f>
        <v>32.463200000000001</v>
      </c>
      <c r="AF114" s="120">
        <f>VLOOKUP(AA114,informatieblad!$A$27:$M$32,13,FALSE)</f>
        <v>4</v>
      </c>
      <c r="AG114" s="121">
        <f t="shared" ref="AG114" si="399">ROUND((AF114*P114),1)</f>
        <v>0</v>
      </c>
      <c r="AH114" s="64"/>
      <c r="AI114" s="111">
        <f t="shared" ref="AI114" si="400">(IF(B113=AI112,((2*B112)+(2*C112)),IF(B113=AI113,((2*B112)+(2*C112)),0)))*C114</f>
        <v>0</v>
      </c>
      <c r="AJ114" s="261">
        <f t="shared" ref="AJ114" si="401">(IF(C113=AI112,((2*B112)+(2*C112)),IF(C113=AI113,((2*B112)+(2*C112)),0)))*C114</f>
        <v>0</v>
      </c>
      <c r="AK114" s="111">
        <f t="shared" ref="AK114" si="402">(IF(B113=AK112,((2*B112)+(2*C112)),IF(B113=AK113,((2*B112)+(2*C112)),0)))*C114</f>
        <v>0</v>
      </c>
      <c r="AL114" s="260">
        <f t="shared" ref="AL114" si="403">(IF(C113=AK112,((2*B112)+(2*C112)),IF(C113=AK113,((2*B112)+(2*C112)),0)))*C114</f>
        <v>0</v>
      </c>
      <c r="AM114" s="261">
        <f t="shared" ref="AM114" si="404">(IF(B113=AM112,((2*B112)+(2*C112)),IF(B113=AM113,((2*B112)+(2*C112)),0)))*C114</f>
        <v>0</v>
      </c>
      <c r="AN114" s="260">
        <f t="shared" ref="AN114" si="405">(IF(C113=AM112,((2*B112)+(2*C112)),IF(C113=AM113,((2*B112)+(2*C112)),0)))*C114</f>
        <v>0</v>
      </c>
      <c r="AO114" s="111">
        <f t="shared" ref="AO114" si="406">(IF(B113=AO112,((2*B112)+(2*C112)),0))*C114</f>
        <v>0</v>
      </c>
      <c r="AP114" s="260">
        <f t="shared" ref="AP114" si="407">(IF(C113=AO112,((2*B112)+(2*C112)),0))*C114</f>
        <v>0</v>
      </c>
      <c r="AQ114" s="64"/>
      <c r="AR114" s="268">
        <f t="shared" ref="AR114" si="408">D112*C114</f>
        <v>0</v>
      </c>
      <c r="AS114" s="64"/>
      <c r="AT114" s="83" t="str">
        <f>'UC mounting materials '!$B$11</f>
        <v>Rail 41x41</v>
      </c>
      <c r="AU114" s="268">
        <f t="shared" ref="AU114" si="409">IF(Z114&gt;999,(Z114+100),0)*C114</f>
        <v>0</v>
      </c>
      <c r="AV114" s="64"/>
      <c r="AW114" s="111" t="str">
        <f>IF(B113=informatieblad!$A$6,informatieblad!$B$6,IF(B113=informatieblad!$A$7,informatieblad!$B$7,IF(B113=informatieblad!$A$8,informatieblad!$B$8,IF(B113=informatieblad!$A$2,informatieblad!$B$2,IF(B113=informatieblad!$A$3,informatieblad!$B$3,IF(B113=informatieblad!$A$4,informatieblad!$B$4,IF(B113=informatieblad!$A$5,informatieblad!$B$5,"")))))))</f>
        <v/>
      </c>
      <c r="AX114" s="275" t="str">
        <f>IF(C113=informatieblad!$A$6,informatieblad!$B$6,IF(C113=informatieblad!$A$7,informatieblad!$B$7,IF(C113=informatieblad!$A$8,informatieblad!$B$8,IF(C113=informatieblad!$A$2,informatieblad!$B$2,IF(C113=informatieblad!$A$3,informatieblad!$B$3,IF(C113=informatieblad!$A$4,informatieblad!$B$4,IF(C113=informatieblad!$A$5,informatieblad!$B$5,"")))))))</f>
        <v/>
      </c>
      <c r="AY114" s="276">
        <f t="shared" ref="AY114" si="410">IF(AW114=AY112,(4*C114),0)</f>
        <v>0</v>
      </c>
      <c r="AZ114" s="276">
        <f t="shared" ref="AZ114" si="411">IF(AX114=AY112,(4*C114),0)</f>
        <v>0</v>
      </c>
      <c r="BA114" s="276">
        <f t="shared" ref="BA114" si="412">IF(AW114=BA112,(4*C114),0)</f>
        <v>0</v>
      </c>
      <c r="BB114" s="274">
        <f t="shared" ref="BB114" si="413">IF(AX114=BA112,(4*C114),0)</f>
        <v>0</v>
      </c>
      <c r="BC114" s="83"/>
      <c r="BD114" s="374">
        <v>5</v>
      </c>
      <c r="BE114">
        <f t="shared" ref="BE114" si="414">BD114*2.4</f>
        <v>12</v>
      </c>
    </row>
    <row r="115" spans="1:57" ht="5.0999999999999996" customHeight="1" thickBot="1">
      <c r="A115" s="88"/>
      <c r="B115" s="88"/>
      <c r="C115" s="88"/>
      <c r="D115" s="88"/>
      <c r="F115" s="88"/>
      <c r="G115" s="88"/>
      <c r="H115" s="88"/>
      <c r="I115" s="88"/>
      <c r="J115" s="83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83"/>
      <c r="AJ115" s="83"/>
      <c r="AK115" s="83"/>
      <c r="AL115" s="83"/>
      <c r="AM115" s="83"/>
      <c r="AN115" s="83"/>
      <c r="AO115" s="83"/>
      <c r="AP115" s="83"/>
      <c r="AQ115" s="64"/>
      <c r="AR115" s="83"/>
      <c r="AS115" s="64"/>
      <c r="AT115" s="64"/>
      <c r="AU115" s="83"/>
      <c r="AV115" s="64"/>
      <c r="AW115" s="83"/>
      <c r="AX115" s="83"/>
      <c r="AY115" s="83"/>
      <c r="AZ115" s="83"/>
      <c r="BA115" s="83"/>
      <c r="BB115" s="83"/>
      <c r="BC115" s="83"/>
    </row>
    <row r="116" spans="1:57" ht="15.75" customHeight="1" thickBot="1">
      <c r="A116" s="445"/>
      <c r="B116" s="96"/>
      <c r="C116" s="96"/>
      <c r="D116" s="96"/>
      <c r="E116" s="96"/>
      <c r="F116" s="421"/>
      <c r="G116" s="423" t="s">
        <v>181</v>
      </c>
      <c r="H116" s="424">
        <f>ROUND(((B116*C116)/1000000),2)</f>
        <v>0</v>
      </c>
      <c r="I116" s="425" t="s">
        <v>24</v>
      </c>
      <c r="J116" s="366" t="s">
        <v>20</v>
      </c>
      <c r="K116" s="64"/>
      <c r="L116" s="64"/>
      <c r="M116" s="97" t="s">
        <v>26</v>
      </c>
      <c r="N116" s="98" t="s">
        <v>27</v>
      </c>
      <c r="O116" s="98" t="s">
        <v>28</v>
      </c>
      <c r="P116" s="98" t="s">
        <v>27</v>
      </c>
      <c r="Q116" s="98" t="s">
        <v>28</v>
      </c>
      <c r="R116" s="98" t="s">
        <v>29</v>
      </c>
      <c r="S116" s="66" t="s">
        <v>30</v>
      </c>
      <c r="T116" s="99" t="s">
        <v>31</v>
      </c>
      <c r="U116" s="99"/>
      <c r="V116" s="99"/>
      <c r="W116" s="98" t="s">
        <v>32</v>
      </c>
      <c r="X116" s="98" t="s">
        <v>32</v>
      </c>
      <c r="Y116" s="98"/>
      <c r="Z116" s="98" t="s">
        <v>33</v>
      </c>
      <c r="AA116" s="100" t="s">
        <v>34</v>
      </c>
      <c r="AB116" s="98" t="s">
        <v>32</v>
      </c>
      <c r="AC116" s="98" t="s">
        <v>32</v>
      </c>
      <c r="AD116" s="98" t="s">
        <v>32</v>
      </c>
      <c r="AE116" s="98" t="s">
        <v>32</v>
      </c>
      <c r="AF116" s="98" t="s">
        <v>35</v>
      </c>
      <c r="AG116" s="101" t="s">
        <v>36</v>
      </c>
      <c r="AH116" s="64"/>
      <c r="AI116" s="97" t="str">
        <f>informatieblad!$A$6</f>
        <v>FL20</v>
      </c>
      <c r="AJ116" s="99"/>
      <c r="AK116" s="97" t="str">
        <f>informatieblad!$A$7</f>
        <v>FL30</v>
      </c>
      <c r="AL116" s="66"/>
      <c r="AM116" s="99" t="str">
        <f>informatieblad!$A$8</f>
        <v>FL40</v>
      </c>
      <c r="AN116" s="66"/>
      <c r="AO116" s="97" t="str">
        <f>informatieblad!$A$5</f>
        <v>none</v>
      </c>
      <c r="AP116" s="264"/>
      <c r="AQ116" s="64"/>
      <c r="AR116" s="266" t="s">
        <v>17</v>
      </c>
      <c r="AS116" s="64"/>
      <c r="AT116" s="64"/>
      <c r="AU116" s="266" t="s">
        <v>37</v>
      </c>
      <c r="AV116" s="64"/>
      <c r="AW116" s="269" t="s">
        <v>38</v>
      </c>
      <c r="AX116" s="272"/>
      <c r="AY116" s="272">
        <f>informatieblad!$B$3</f>
        <v>0</v>
      </c>
      <c r="AZ116" s="272">
        <f>informatieblad!$B$3</f>
        <v>0</v>
      </c>
      <c r="BA116" s="272">
        <f>informatieblad!$B$4</f>
        <v>0</v>
      </c>
      <c r="BB116" s="264">
        <f>informatieblad!$B$4</f>
        <v>0</v>
      </c>
      <c r="BC116" s="83"/>
      <c r="BD116" t="s">
        <v>182</v>
      </c>
    </row>
    <row r="117" spans="1:57" ht="15" customHeight="1">
      <c r="A117" s="467"/>
      <c r="B117" s="102" t="str">
        <f>IF($C118&gt;0,IF(MAX(B116:C116)&lt;informatieblad!$Q$4,informatieblad!$P$3,IF(MAX(B116:C116)&gt;informatieblad!$R$4,informatieblad!$P$5,informatieblad!$P$4)),"")</f>
        <v/>
      </c>
      <c r="C117" s="102" t="str">
        <f>IF($C118&gt;0,IF(MAX(B116:C116)&lt;informatieblad!$Q$4,informatieblad!$P$3,IF(MAX(B116:C116)&gt;informatieblad!$R$4,informatieblad!$P$5,informatieblad!$P$4)),"")</f>
        <v/>
      </c>
      <c r="D117" s="504"/>
      <c r="E117" s="527"/>
      <c r="F117" s="505" t="str">
        <f>A116&amp;"-"&amp;informatieblad!$B$21&amp;"-"&amp;B116&amp;"-"&amp;C116&amp;"-"&amp;D116&amp;"-"&amp;E116&amp;"-"&amp;B117&amp;"-"&amp;C117&amp;"-"&amp;G118</f>
        <v>-RctV-------Options None</v>
      </c>
      <c r="G117" s="528"/>
      <c r="H117" s="528"/>
      <c r="I117" s="529"/>
      <c r="J117" s="83"/>
      <c r="K117" s="64"/>
      <c r="L117" s="64"/>
      <c r="M117" s="103">
        <f>A116</f>
        <v>0</v>
      </c>
      <c r="N117" s="104" t="s">
        <v>39</v>
      </c>
      <c r="O117" s="104" t="s">
        <v>39</v>
      </c>
      <c r="P117" s="104" t="s">
        <v>40</v>
      </c>
      <c r="Q117" s="104" t="s">
        <v>40</v>
      </c>
      <c r="R117" s="104" t="s">
        <v>40</v>
      </c>
      <c r="S117" s="105"/>
      <c r="T117" s="106" t="s">
        <v>27</v>
      </c>
      <c r="U117" s="106" t="s">
        <v>40</v>
      </c>
      <c r="V117" s="106" t="s">
        <v>41</v>
      </c>
      <c r="W117" s="104" t="s">
        <v>42</v>
      </c>
      <c r="X117" s="104" t="s">
        <v>43</v>
      </c>
      <c r="Y117" s="104"/>
      <c r="Z117" s="104" t="s">
        <v>44</v>
      </c>
      <c r="AA117" s="107"/>
      <c r="AB117" s="104" t="s">
        <v>45</v>
      </c>
      <c r="AC117" s="104" t="s">
        <v>42</v>
      </c>
      <c r="AD117" s="104" t="s">
        <v>43</v>
      </c>
      <c r="AE117" s="104" t="s">
        <v>46</v>
      </c>
      <c r="AF117" s="108"/>
      <c r="AG117" s="109"/>
      <c r="AH117" s="64"/>
      <c r="AI117" s="262" t="str">
        <f>informatieblad!$A$2</f>
        <v>FL20 loose</v>
      </c>
      <c r="AJ117" s="263"/>
      <c r="AK117" s="262" t="str">
        <f>informatieblad!$A$3</f>
        <v>FL30 loose</v>
      </c>
      <c r="AL117" s="105"/>
      <c r="AM117" s="263" t="str">
        <f>informatieblad!$A$4</f>
        <v>FL40 loose</v>
      </c>
      <c r="AN117" s="105"/>
      <c r="AO117" s="265"/>
      <c r="AP117" s="105"/>
      <c r="AQ117" s="64"/>
      <c r="AR117" s="267"/>
      <c r="AS117" s="64"/>
      <c r="AT117" s="83" t="str">
        <f>'UC mounting materials '!$B$10</f>
        <v>Rail 30x15</v>
      </c>
      <c r="AU117" s="327">
        <f>IF(Z118&lt;1000,(Z118+100),0)*C118</f>
        <v>0</v>
      </c>
      <c r="AV117" s="64"/>
      <c r="AW117" s="265" t="s">
        <v>47</v>
      </c>
      <c r="AX117" s="106" t="s">
        <v>48</v>
      </c>
      <c r="AY117" s="83" t="s">
        <v>23</v>
      </c>
      <c r="AZ117" s="83" t="s">
        <v>23</v>
      </c>
      <c r="BA117" s="83" t="s">
        <v>23</v>
      </c>
      <c r="BB117" s="273" t="s">
        <v>23</v>
      </c>
      <c r="BC117" s="83"/>
      <c r="BD117" t="s">
        <v>40</v>
      </c>
      <c r="BE117" s="83" t="s">
        <v>41</v>
      </c>
    </row>
    <row r="118" spans="1:57" ht="15.75" customHeight="1" thickBot="1">
      <c r="A118" s="468"/>
      <c r="B118" s="371" t="s">
        <v>23</v>
      </c>
      <c r="C118" s="412"/>
      <c r="D118" s="94">
        <f>C118*O118</f>
        <v>0</v>
      </c>
      <c r="E118" s="422" t="s">
        <v>24</v>
      </c>
      <c r="F118" s="93"/>
      <c r="G118" s="451" t="s">
        <v>25</v>
      </c>
      <c r="H118" s="530"/>
      <c r="I118" s="531"/>
      <c r="J118" s="83"/>
      <c r="K118" s="64"/>
      <c r="L118" s="64"/>
      <c r="M118" s="111"/>
      <c r="N118" s="112">
        <f>(((2*(B116+C116))*D116)/1000000)+(((B116-10)*(C116-10))/1000000)</f>
        <v>1E-4</v>
      </c>
      <c r="O118" s="112">
        <f>((IF(N118&lt;=informatieblad!$I$12,informatieblad!$I$12,IF(N118&gt;=informatieblad!$I$12,N118))))</f>
        <v>0.5</v>
      </c>
      <c r="P118" s="112">
        <f>(((2*B116)+(2*C116))*D116)/1000000+(((B116-10)*(C116-10))/1000000)</f>
        <v>1E-4</v>
      </c>
      <c r="Q118" s="112">
        <f>((IF(P118&lt;=informatieblad!$H$12,informatieblad!$H$12,IF(P118&gt;=informatieblad!$H$12,P118))))</f>
        <v>1E-4</v>
      </c>
      <c r="R118" s="113">
        <f>(((Q118*X118)+(Q118*U118))*C118)+BD118</f>
        <v>5</v>
      </c>
      <c r="S118" s="114">
        <f>(((O118*W118)+(O118*V118))*C118)+(BE118)</f>
        <v>12</v>
      </c>
      <c r="T118" s="115" t="str">
        <f>G118</f>
        <v>Options None</v>
      </c>
      <c r="U118" s="116">
        <f>VLOOKUP(G118,informatieblad!$A$37:$D$41,2,FALSE)</f>
        <v>0</v>
      </c>
      <c r="V118" s="116">
        <f>VLOOKUP(G118,informatieblad!$A$37:$D$41,4,FALSE)</f>
        <v>0</v>
      </c>
      <c r="W118" s="117">
        <f>((IF(D116&lt;=900,AC118,IF(D116&gt;=900,AE118))))</f>
        <v>45.1248</v>
      </c>
      <c r="X118" s="118">
        <f>((IF(D116&lt;=900,AB118,IF(D116&gt;=900,AD118))))</f>
        <v>0</v>
      </c>
      <c r="Y118" s="119"/>
      <c r="Z118" s="119">
        <f>(MAX(B116:C116))</f>
        <v>0</v>
      </c>
      <c r="AA118" s="119">
        <f>LOOKUP(Z118,informatieblad!$C$27:$C$32,informatieblad!$A$27:$A$32)</f>
        <v>0.5</v>
      </c>
      <c r="AB118" s="118">
        <f>VLOOKUP(AA118,informatieblad!$A$27:$M$32,6,FALSE)</f>
        <v>0</v>
      </c>
      <c r="AC118" s="118">
        <f>VLOOKUP(AA118,informatieblad!$A$27:$M$32,8,FALSE)</f>
        <v>45.1248</v>
      </c>
      <c r="AD118" s="118">
        <f>VLOOKUP(AA118,informatieblad!$A$27:$M$32,9,FALSE)</f>
        <v>0</v>
      </c>
      <c r="AE118" s="118">
        <f>VLOOKUP(AA118,informatieblad!$A$27:$M$32,11,FALSE)</f>
        <v>32.463200000000001</v>
      </c>
      <c r="AF118" s="120">
        <f>VLOOKUP(AA118,informatieblad!$A$27:$M$32,13,FALSE)</f>
        <v>4</v>
      </c>
      <c r="AG118" s="121">
        <f>ROUND((AF118*P118),1)</f>
        <v>0</v>
      </c>
      <c r="AH118" s="64"/>
      <c r="AI118" s="111">
        <f>(IF(B117=AI116,((2*B116)+(2*C116)),IF(B117=AI117,((2*B116)+(2*C116)),0)))*C118</f>
        <v>0</v>
      </c>
      <c r="AJ118" s="261">
        <f>(IF(C117=AI116,((2*B116)+(2*C116)),IF(C117=AI117,((2*B116)+(2*C116)),0)))*C118</f>
        <v>0</v>
      </c>
      <c r="AK118" s="111">
        <f>(IF(B117=AK116,((2*B116)+(2*C116)),IF(B117=AK117,((2*B116)+(2*C116)),0)))*C118</f>
        <v>0</v>
      </c>
      <c r="AL118" s="260">
        <f>(IF(C117=AK116,((2*B116)+(2*C116)),IF(C117=AK117,((2*B116)+(2*C116)),0)))*C118</f>
        <v>0</v>
      </c>
      <c r="AM118" s="261">
        <f>(IF(B117=AM116,((2*B116)+(2*C116)),IF(B117=AM117,((2*B116)+(2*C116)),0)))*C118</f>
        <v>0</v>
      </c>
      <c r="AN118" s="260">
        <f>(IF(C117=AM116,((2*B116)+(2*C116)),IF(C117=AM117,((2*B116)+(2*C116)),0)))*C118</f>
        <v>0</v>
      </c>
      <c r="AO118" s="111">
        <f>(IF(B117=AO116,((2*B116)+(2*C116)),0))*C118</f>
        <v>0</v>
      </c>
      <c r="AP118" s="260">
        <f>(IF(C117=AO116,((2*B116)+(2*C116)),0))*C118</f>
        <v>0</v>
      </c>
      <c r="AQ118" s="64"/>
      <c r="AR118" s="268">
        <f>D116*C118</f>
        <v>0</v>
      </c>
      <c r="AS118" s="64"/>
      <c r="AT118" s="83" t="str">
        <f>'UC mounting materials '!$B$11</f>
        <v>Rail 41x41</v>
      </c>
      <c r="AU118" s="268">
        <f>IF(Z118&gt;999,(Z118+100),0)*C118</f>
        <v>0</v>
      </c>
      <c r="AV118" s="64"/>
      <c r="AW118" s="111" t="str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/>
      </c>
      <c r="AX118" s="275" t="str">
        <f>IF(C117=informatieblad!$A$6,informatieblad!$B$6,IF(C117=informatieblad!$A$7,informatieblad!$B$7,IF(C117=informatieblad!$A$8,informatieblad!$B$8,IF(C117=informatieblad!$A$2,informatieblad!$B$2,IF(C117=informatieblad!$A$3,informatieblad!$B$3,IF(C117=informatieblad!$A$4,informatieblad!$B$4,IF(C117=informatieblad!$A$5,informatieblad!$B$5,"")))))))</f>
        <v/>
      </c>
      <c r="AY118" s="276">
        <f>IF(AW118=AY116,(4*C118),0)</f>
        <v>0</v>
      </c>
      <c r="AZ118" s="276">
        <f>IF(AX118=AY116,(4*C118),0)</f>
        <v>0</v>
      </c>
      <c r="BA118" s="276">
        <f>IF(AW118=BA116,(4*C118),0)</f>
        <v>0</v>
      </c>
      <c r="BB118" s="274">
        <f>IF(AX118=BA116,(4*C118),0)</f>
        <v>0</v>
      </c>
      <c r="BC118" s="83"/>
      <c r="BD118" s="374">
        <v>5</v>
      </c>
      <c r="BE118">
        <f>BD118*2.4</f>
        <v>12</v>
      </c>
    </row>
    <row r="119" spans="1:57" ht="5.0999999999999996" customHeight="1" thickBot="1">
      <c r="A119" s="88"/>
      <c r="B119" s="88"/>
      <c r="C119" s="88"/>
      <c r="D119" s="88"/>
      <c r="F119" s="88"/>
      <c r="G119" s="88"/>
      <c r="H119" s="88"/>
      <c r="I119" s="88"/>
      <c r="J119" s="83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83"/>
      <c r="AJ119" s="83"/>
      <c r="AK119" s="83"/>
      <c r="AL119" s="83"/>
      <c r="AM119" s="83"/>
      <c r="AN119" s="83"/>
      <c r="AO119" s="83"/>
      <c r="AP119" s="83"/>
      <c r="AQ119" s="64"/>
      <c r="AR119" s="83"/>
      <c r="AS119" s="64"/>
      <c r="AT119" s="64"/>
      <c r="AU119" s="83"/>
      <c r="AV119" s="64"/>
      <c r="AW119" s="83"/>
      <c r="AX119" s="83"/>
      <c r="AY119" s="83"/>
      <c r="AZ119" s="83"/>
      <c r="BA119" s="83"/>
      <c r="BB119" s="83"/>
      <c r="BC119" s="83"/>
    </row>
    <row r="120" spans="1:57" ht="15.75" customHeight="1" thickBot="1">
      <c r="A120" s="445"/>
      <c r="B120" s="96"/>
      <c r="C120" s="96"/>
      <c r="D120" s="96"/>
      <c r="E120" s="96"/>
      <c r="F120" s="421"/>
      <c r="G120" s="423" t="s">
        <v>181</v>
      </c>
      <c r="H120" s="424">
        <f>ROUND(((B120*C120)/1000000),2)</f>
        <v>0</v>
      </c>
      <c r="I120" s="425" t="s">
        <v>24</v>
      </c>
      <c r="J120" s="366" t="s">
        <v>20</v>
      </c>
      <c r="K120" s="64"/>
      <c r="L120" s="64"/>
      <c r="M120" s="97" t="s">
        <v>26</v>
      </c>
      <c r="N120" s="98" t="s">
        <v>27</v>
      </c>
      <c r="O120" s="98" t="s">
        <v>28</v>
      </c>
      <c r="P120" s="98" t="s">
        <v>27</v>
      </c>
      <c r="Q120" s="98" t="s">
        <v>28</v>
      </c>
      <c r="R120" s="98" t="s">
        <v>29</v>
      </c>
      <c r="S120" s="66" t="s">
        <v>30</v>
      </c>
      <c r="T120" s="99" t="s">
        <v>31</v>
      </c>
      <c r="U120" s="99"/>
      <c r="V120" s="99"/>
      <c r="W120" s="98" t="s">
        <v>32</v>
      </c>
      <c r="X120" s="98" t="s">
        <v>32</v>
      </c>
      <c r="Y120" s="98"/>
      <c r="Z120" s="98" t="s">
        <v>33</v>
      </c>
      <c r="AA120" s="100" t="s">
        <v>34</v>
      </c>
      <c r="AB120" s="98" t="s">
        <v>32</v>
      </c>
      <c r="AC120" s="98" t="s">
        <v>32</v>
      </c>
      <c r="AD120" s="98" t="s">
        <v>32</v>
      </c>
      <c r="AE120" s="98" t="s">
        <v>32</v>
      </c>
      <c r="AF120" s="98" t="s">
        <v>35</v>
      </c>
      <c r="AG120" s="101" t="s">
        <v>36</v>
      </c>
      <c r="AH120" s="64"/>
      <c r="AI120" s="97" t="str">
        <f>informatieblad!$A$6</f>
        <v>FL20</v>
      </c>
      <c r="AJ120" s="99"/>
      <c r="AK120" s="97" t="str">
        <f>informatieblad!$A$7</f>
        <v>FL30</v>
      </c>
      <c r="AL120" s="66"/>
      <c r="AM120" s="99" t="str">
        <f>informatieblad!$A$8</f>
        <v>FL40</v>
      </c>
      <c r="AN120" s="66"/>
      <c r="AO120" s="97" t="str">
        <f>informatieblad!$A$5</f>
        <v>none</v>
      </c>
      <c r="AP120" s="264"/>
      <c r="AQ120" s="64"/>
      <c r="AR120" s="266" t="s">
        <v>17</v>
      </c>
      <c r="AS120" s="64"/>
      <c r="AT120" s="64"/>
      <c r="AU120" s="266" t="s">
        <v>37</v>
      </c>
      <c r="AV120" s="64"/>
      <c r="AW120" s="269" t="s">
        <v>38</v>
      </c>
      <c r="AX120" s="272"/>
      <c r="AY120" s="272">
        <f>informatieblad!$B$3</f>
        <v>0</v>
      </c>
      <c r="AZ120" s="272">
        <f>informatieblad!$B$3</f>
        <v>0</v>
      </c>
      <c r="BA120" s="272">
        <f>informatieblad!$B$4</f>
        <v>0</v>
      </c>
      <c r="BB120" s="264">
        <f>informatieblad!$B$4</f>
        <v>0</v>
      </c>
      <c r="BC120" s="83"/>
      <c r="BD120" t="s">
        <v>182</v>
      </c>
    </row>
    <row r="121" spans="1:57" ht="15" customHeight="1">
      <c r="A121" s="467"/>
      <c r="B121" s="102" t="str">
        <f>IF($C122&gt;0,IF(MAX(B120:C120)&lt;informatieblad!$Q$4,informatieblad!$P$3,IF(MAX(B120:C120)&gt;informatieblad!$R$4,informatieblad!$P$5,informatieblad!$P$4)),"")</f>
        <v/>
      </c>
      <c r="C121" s="102" t="str">
        <f>IF($C122&gt;0,IF(MAX(B120:C120)&lt;informatieblad!$Q$4,informatieblad!$P$3,IF(MAX(B120:C120)&gt;informatieblad!$R$4,informatieblad!$P$5,informatieblad!$P$4)),"")</f>
        <v/>
      </c>
      <c r="D121" s="504"/>
      <c r="E121" s="527"/>
      <c r="F121" s="505" t="str">
        <f>A120&amp;"-"&amp;informatieblad!$B$21&amp;"-"&amp;B120&amp;"-"&amp;C120&amp;"-"&amp;D120&amp;"-"&amp;E120&amp;"-"&amp;B121&amp;"-"&amp;C121&amp;"-"&amp;G122</f>
        <v>-RctV-------Options None</v>
      </c>
      <c r="G121" s="528"/>
      <c r="H121" s="528"/>
      <c r="I121" s="529"/>
      <c r="J121" s="83"/>
      <c r="K121" s="64"/>
      <c r="L121" s="64"/>
      <c r="M121" s="103">
        <f t="shared" ref="M121" si="415">A120</f>
        <v>0</v>
      </c>
      <c r="N121" s="104" t="s">
        <v>39</v>
      </c>
      <c r="O121" s="104" t="s">
        <v>39</v>
      </c>
      <c r="P121" s="104" t="s">
        <v>40</v>
      </c>
      <c r="Q121" s="104" t="s">
        <v>40</v>
      </c>
      <c r="R121" s="104" t="s">
        <v>40</v>
      </c>
      <c r="S121" s="105"/>
      <c r="T121" s="106" t="s">
        <v>27</v>
      </c>
      <c r="U121" s="106" t="s">
        <v>40</v>
      </c>
      <c r="V121" s="106" t="s">
        <v>41</v>
      </c>
      <c r="W121" s="104" t="s">
        <v>42</v>
      </c>
      <c r="X121" s="104" t="s">
        <v>43</v>
      </c>
      <c r="Y121" s="104"/>
      <c r="Z121" s="104" t="s">
        <v>44</v>
      </c>
      <c r="AA121" s="107"/>
      <c r="AB121" s="104" t="s">
        <v>45</v>
      </c>
      <c r="AC121" s="104" t="s">
        <v>42</v>
      </c>
      <c r="AD121" s="104" t="s">
        <v>43</v>
      </c>
      <c r="AE121" s="104" t="s">
        <v>46</v>
      </c>
      <c r="AF121" s="108"/>
      <c r="AG121" s="109"/>
      <c r="AH121" s="64"/>
      <c r="AI121" s="262" t="str">
        <f>informatieblad!$A$2</f>
        <v>FL20 loose</v>
      </c>
      <c r="AJ121" s="263"/>
      <c r="AK121" s="262" t="str">
        <f>informatieblad!$A$3</f>
        <v>FL30 loose</v>
      </c>
      <c r="AL121" s="105"/>
      <c r="AM121" s="263" t="str">
        <f>informatieblad!$A$4</f>
        <v>FL40 loose</v>
      </c>
      <c r="AN121" s="105"/>
      <c r="AO121" s="265"/>
      <c r="AP121" s="105"/>
      <c r="AQ121" s="64"/>
      <c r="AR121" s="267"/>
      <c r="AS121" s="64"/>
      <c r="AT121" s="83" t="str">
        <f>'UC mounting materials '!$B$10</f>
        <v>Rail 30x15</v>
      </c>
      <c r="AU121" s="327">
        <f t="shared" ref="AU121" si="416">IF(Z122&lt;1000,(Z122+100),0)*C122</f>
        <v>0</v>
      </c>
      <c r="AV121" s="64"/>
      <c r="AW121" s="265" t="s">
        <v>47</v>
      </c>
      <c r="AX121" s="106" t="s">
        <v>48</v>
      </c>
      <c r="AY121" s="83" t="s">
        <v>23</v>
      </c>
      <c r="AZ121" s="83" t="s">
        <v>23</v>
      </c>
      <c r="BA121" s="83" t="s">
        <v>23</v>
      </c>
      <c r="BB121" s="273" t="s">
        <v>23</v>
      </c>
      <c r="BC121" s="83"/>
      <c r="BD121" t="s">
        <v>40</v>
      </c>
      <c r="BE121" s="83" t="s">
        <v>41</v>
      </c>
    </row>
    <row r="122" spans="1:57" ht="15.75" customHeight="1" thickBot="1">
      <c r="A122" s="468"/>
      <c r="B122" s="371" t="s">
        <v>23</v>
      </c>
      <c r="C122" s="412"/>
      <c r="D122" s="94">
        <f>C122*O122</f>
        <v>0</v>
      </c>
      <c r="E122" s="422" t="s">
        <v>24</v>
      </c>
      <c r="F122" s="93"/>
      <c r="G122" s="451" t="s">
        <v>25</v>
      </c>
      <c r="H122" s="530"/>
      <c r="I122" s="531"/>
      <c r="J122" s="83"/>
      <c r="K122" s="64"/>
      <c r="L122" s="64"/>
      <c r="M122" s="111"/>
      <c r="N122" s="112">
        <f t="shared" ref="N122" si="417">(((2*(B120+C120))*D120)/1000000)+(((B120-10)*(C120-10))/1000000)</f>
        <v>1E-4</v>
      </c>
      <c r="O122" s="112">
        <f>((IF(N122&lt;=informatieblad!$I$12,informatieblad!$I$12,IF(N122&gt;=informatieblad!$I$12,N122))))</f>
        <v>0.5</v>
      </c>
      <c r="P122" s="112">
        <f t="shared" ref="P122" si="418">(((2*B120)+(2*C120))*D120)/1000000+(((B120-10)*(C120-10))/1000000)</f>
        <v>1E-4</v>
      </c>
      <c r="Q122" s="112">
        <f>((IF(P122&lt;=informatieblad!$H$12,informatieblad!$H$12,IF(P122&gt;=informatieblad!$H$12,P122))))</f>
        <v>1E-4</v>
      </c>
      <c r="R122" s="113">
        <f t="shared" ref="R122" si="419">(((Q122*X122)+(Q122*U122))*C122)+BD122</f>
        <v>5</v>
      </c>
      <c r="S122" s="114">
        <f t="shared" ref="S122" si="420">(((O122*W122)+(O122*V122))*C122)+(BE122)</f>
        <v>12</v>
      </c>
      <c r="T122" s="115" t="str">
        <f t="shared" ref="T122" si="421">G122</f>
        <v>Options None</v>
      </c>
      <c r="U122" s="116">
        <f>VLOOKUP(G122,informatieblad!$A$37:$D$41,2,FALSE)</f>
        <v>0</v>
      </c>
      <c r="V122" s="116">
        <f>VLOOKUP(G122,informatieblad!$A$37:$D$41,4,FALSE)</f>
        <v>0</v>
      </c>
      <c r="W122" s="117">
        <f t="shared" ref="W122" si="422">((IF(D120&lt;=900,AC122,IF(D120&gt;=900,AE122))))</f>
        <v>45.1248</v>
      </c>
      <c r="X122" s="118">
        <f t="shared" ref="X122" si="423">((IF(D120&lt;=900,AB122,IF(D120&gt;=900,AD122))))</f>
        <v>0</v>
      </c>
      <c r="Y122" s="119"/>
      <c r="Z122" s="119">
        <f t="shared" ref="Z122" si="424">(MAX(B120:C120))</f>
        <v>0</v>
      </c>
      <c r="AA122" s="119">
        <f>LOOKUP(Z122,informatieblad!$C$27:$C$32,informatieblad!$A$27:$A$32)</f>
        <v>0.5</v>
      </c>
      <c r="AB122" s="118">
        <f>VLOOKUP(AA122,informatieblad!$A$27:$M$32,6,FALSE)</f>
        <v>0</v>
      </c>
      <c r="AC122" s="118">
        <f>VLOOKUP(AA122,informatieblad!$A$27:$M$32,8,FALSE)</f>
        <v>45.1248</v>
      </c>
      <c r="AD122" s="118">
        <f>VLOOKUP(AA122,informatieblad!$A$27:$M$32,9,FALSE)</f>
        <v>0</v>
      </c>
      <c r="AE122" s="118">
        <f>VLOOKUP(AA122,informatieblad!$A$27:$M$32,11,FALSE)</f>
        <v>32.463200000000001</v>
      </c>
      <c r="AF122" s="120">
        <f>VLOOKUP(AA122,informatieblad!$A$27:$M$32,13,FALSE)</f>
        <v>4</v>
      </c>
      <c r="AG122" s="121">
        <f t="shared" ref="AG122" si="425">ROUND((AF122*P122),1)</f>
        <v>0</v>
      </c>
      <c r="AH122" s="64"/>
      <c r="AI122" s="111">
        <f t="shared" ref="AI122" si="426">(IF(B121=AI120,((2*B120)+(2*C120)),IF(B121=AI121,((2*B120)+(2*C120)),0)))*C122</f>
        <v>0</v>
      </c>
      <c r="AJ122" s="261">
        <f t="shared" ref="AJ122" si="427">(IF(C121=AI120,((2*B120)+(2*C120)),IF(C121=AI121,((2*B120)+(2*C120)),0)))*C122</f>
        <v>0</v>
      </c>
      <c r="AK122" s="111">
        <f t="shared" ref="AK122" si="428">(IF(B121=AK120,((2*B120)+(2*C120)),IF(B121=AK121,((2*B120)+(2*C120)),0)))*C122</f>
        <v>0</v>
      </c>
      <c r="AL122" s="260">
        <f t="shared" ref="AL122" si="429">(IF(C121=AK120,((2*B120)+(2*C120)),IF(C121=AK121,((2*B120)+(2*C120)),0)))*C122</f>
        <v>0</v>
      </c>
      <c r="AM122" s="261">
        <f t="shared" ref="AM122" si="430">(IF(B121=AM120,((2*B120)+(2*C120)),IF(B121=AM121,((2*B120)+(2*C120)),0)))*C122</f>
        <v>0</v>
      </c>
      <c r="AN122" s="260">
        <f t="shared" ref="AN122" si="431">(IF(C121=AM120,((2*B120)+(2*C120)),IF(C121=AM121,((2*B120)+(2*C120)),0)))*C122</f>
        <v>0</v>
      </c>
      <c r="AO122" s="111">
        <f t="shared" ref="AO122" si="432">(IF(B121=AO120,((2*B120)+(2*C120)),0))*C122</f>
        <v>0</v>
      </c>
      <c r="AP122" s="260">
        <f t="shared" ref="AP122" si="433">(IF(C121=AO120,((2*B120)+(2*C120)),0))*C122</f>
        <v>0</v>
      </c>
      <c r="AQ122" s="64"/>
      <c r="AR122" s="268">
        <f t="shared" ref="AR122" si="434">D120*C122</f>
        <v>0</v>
      </c>
      <c r="AS122" s="64"/>
      <c r="AT122" s="83" t="str">
        <f>'UC mounting materials '!$B$11</f>
        <v>Rail 41x41</v>
      </c>
      <c r="AU122" s="268">
        <f t="shared" ref="AU122" si="435">IF(Z122&gt;999,(Z122+100),0)*C122</f>
        <v>0</v>
      </c>
      <c r="AV122" s="64"/>
      <c r="AW122" s="111" t="str">
        <f>IF(B121=informatieblad!$A$6,informatieblad!$B$6,IF(B121=informatieblad!$A$7,informatieblad!$B$7,IF(B121=informatieblad!$A$8,informatieblad!$B$8,IF(B121=informatieblad!$A$2,informatieblad!$B$2,IF(B121=informatieblad!$A$3,informatieblad!$B$3,IF(B121=informatieblad!$A$4,informatieblad!$B$4,IF(B121=informatieblad!$A$5,informatieblad!$B$5,"")))))))</f>
        <v/>
      </c>
      <c r="AX122" s="275" t="str">
        <f>IF(C121=informatieblad!$A$6,informatieblad!$B$6,IF(C121=informatieblad!$A$7,informatieblad!$B$7,IF(C121=informatieblad!$A$8,informatieblad!$B$8,IF(C121=informatieblad!$A$2,informatieblad!$B$2,IF(C121=informatieblad!$A$3,informatieblad!$B$3,IF(C121=informatieblad!$A$4,informatieblad!$B$4,IF(C121=informatieblad!$A$5,informatieblad!$B$5,"")))))))</f>
        <v/>
      </c>
      <c r="AY122" s="276">
        <f t="shared" ref="AY122" si="436">IF(AW122=AY120,(4*C122),0)</f>
        <v>0</v>
      </c>
      <c r="AZ122" s="276">
        <f t="shared" ref="AZ122" si="437">IF(AX122=AY120,(4*C122),0)</f>
        <v>0</v>
      </c>
      <c r="BA122" s="276">
        <f t="shared" ref="BA122" si="438">IF(AW122=BA120,(4*C122),0)</f>
        <v>0</v>
      </c>
      <c r="BB122" s="274">
        <f t="shared" ref="BB122" si="439">IF(AX122=BA120,(4*C122),0)</f>
        <v>0</v>
      </c>
      <c r="BC122" s="83"/>
      <c r="BD122" s="374">
        <v>5</v>
      </c>
      <c r="BE122">
        <f t="shared" ref="BE122" si="440">BD122*2.4</f>
        <v>12</v>
      </c>
    </row>
    <row r="123" spans="1:57" ht="5.0999999999999996" customHeight="1" thickBot="1">
      <c r="A123" s="88"/>
      <c r="B123" s="88"/>
      <c r="C123" s="88"/>
      <c r="D123" s="88"/>
      <c r="F123" s="88"/>
      <c r="G123" s="88"/>
      <c r="H123" s="88"/>
      <c r="I123" s="88"/>
      <c r="J123" s="83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83"/>
      <c r="AJ123" s="83"/>
      <c r="AK123" s="83"/>
      <c r="AL123" s="83"/>
      <c r="AM123" s="83"/>
      <c r="AN123" s="83"/>
      <c r="AO123" s="83"/>
      <c r="AP123" s="83"/>
      <c r="AQ123" s="64"/>
      <c r="AR123" s="83"/>
      <c r="AS123" s="64"/>
      <c r="AT123" s="64"/>
      <c r="AU123" s="83"/>
      <c r="AV123" s="64"/>
      <c r="AW123" s="83"/>
      <c r="AX123" s="83"/>
      <c r="AY123" s="83"/>
      <c r="AZ123" s="83"/>
      <c r="BA123" s="83"/>
      <c r="BB123" s="83"/>
      <c r="BC123" s="83"/>
    </row>
    <row r="124" spans="1:57" ht="15.75" customHeight="1" thickBot="1">
      <c r="A124" s="445"/>
      <c r="B124" s="96"/>
      <c r="C124" s="96"/>
      <c r="D124" s="96"/>
      <c r="E124" s="96"/>
      <c r="F124" s="421"/>
      <c r="G124" s="423" t="s">
        <v>181</v>
      </c>
      <c r="H124" s="424">
        <f>ROUND(((B124*C124)/1000000),2)</f>
        <v>0</v>
      </c>
      <c r="I124" s="425" t="s">
        <v>24</v>
      </c>
      <c r="J124" s="366" t="s">
        <v>20</v>
      </c>
      <c r="K124" s="64"/>
      <c r="L124" s="64"/>
      <c r="M124" s="97" t="s">
        <v>26</v>
      </c>
      <c r="N124" s="98" t="s">
        <v>27</v>
      </c>
      <c r="O124" s="98" t="s">
        <v>28</v>
      </c>
      <c r="P124" s="98" t="s">
        <v>27</v>
      </c>
      <c r="Q124" s="98" t="s">
        <v>28</v>
      </c>
      <c r="R124" s="98" t="s">
        <v>29</v>
      </c>
      <c r="S124" s="66" t="s">
        <v>30</v>
      </c>
      <c r="T124" s="99" t="s">
        <v>31</v>
      </c>
      <c r="U124" s="99"/>
      <c r="V124" s="99"/>
      <c r="W124" s="98" t="s">
        <v>32</v>
      </c>
      <c r="X124" s="98" t="s">
        <v>32</v>
      </c>
      <c r="Y124" s="98"/>
      <c r="Z124" s="98" t="s">
        <v>33</v>
      </c>
      <c r="AA124" s="100" t="s">
        <v>34</v>
      </c>
      <c r="AB124" s="98" t="s">
        <v>32</v>
      </c>
      <c r="AC124" s="98" t="s">
        <v>32</v>
      </c>
      <c r="AD124" s="98" t="s">
        <v>32</v>
      </c>
      <c r="AE124" s="98" t="s">
        <v>32</v>
      </c>
      <c r="AF124" s="98" t="s">
        <v>35</v>
      </c>
      <c r="AG124" s="101" t="s">
        <v>36</v>
      </c>
      <c r="AH124" s="64"/>
      <c r="AI124" s="97" t="str">
        <f>informatieblad!$A$6</f>
        <v>FL20</v>
      </c>
      <c r="AJ124" s="99"/>
      <c r="AK124" s="97" t="str">
        <f>informatieblad!$A$7</f>
        <v>FL30</v>
      </c>
      <c r="AL124" s="66"/>
      <c r="AM124" s="99" t="str">
        <f>informatieblad!$A$8</f>
        <v>FL40</v>
      </c>
      <c r="AN124" s="66"/>
      <c r="AO124" s="97" t="str">
        <f>informatieblad!$A$5</f>
        <v>none</v>
      </c>
      <c r="AP124" s="264"/>
      <c r="AQ124" s="64"/>
      <c r="AR124" s="266" t="s">
        <v>17</v>
      </c>
      <c r="AS124" s="64"/>
      <c r="AT124" s="64"/>
      <c r="AU124" s="266" t="s">
        <v>37</v>
      </c>
      <c r="AV124" s="64"/>
      <c r="AW124" s="269" t="s">
        <v>38</v>
      </c>
      <c r="AX124" s="272"/>
      <c r="AY124" s="272">
        <f>informatieblad!$B$3</f>
        <v>0</v>
      </c>
      <c r="AZ124" s="272">
        <f>informatieblad!$B$3</f>
        <v>0</v>
      </c>
      <c r="BA124" s="272">
        <f>informatieblad!$B$4</f>
        <v>0</v>
      </c>
      <c r="BB124" s="264">
        <f>informatieblad!$B$4</f>
        <v>0</v>
      </c>
      <c r="BC124" s="83"/>
      <c r="BD124" t="s">
        <v>182</v>
      </c>
    </row>
    <row r="125" spans="1:57" ht="15" customHeight="1">
      <c r="A125" s="467"/>
      <c r="B125" s="102" t="str">
        <f>IF($C126&gt;0,IF(MAX(B124:C124)&lt;informatieblad!$Q$4,informatieblad!$P$3,IF(MAX(B124:C124)&gt;informatieblad!$R$4,informatieblad!$P$5,informatieblad!$P$4)),"")</f>
        <v/>
      </c>
      <c r="C125" s="102" t="str">
        <f>IF($C126&gt;0,IF(MAX(B124:C124)&lt;informatieblad!$Q$4,informatieblad!$P$3,IF(MAX(B124:C124)&gt;informatieblad!$R$4,informatieblad!$P$5,informatieblad!$P$4)),"")</f>
        <v/>
      </c>
      <c r="D125" s="504"/>
      <c r="E125" s="527"/>
      <c r="F125" s="505" t="str">
        <f>A124&amp;"-"&amp;informatieblad!$B$21&amp;"-"&amp;B124&amp;"-"&amp;C124&amp;"-"&amp;D124&amp;"-"&amp;E124&amp;"-"&amp;B125&amp;"-"&amp;C125&amp;"-"&amp;G126</f>
        <v>-RctV-------Options None</v>
      </c>
      <c r="G125" s="528"/>
      <c r="H125" s="528"/>
      <c r="I125" s="529"/>
      <c r="J125" s="83"/>
      <c r="K125" s="64"/>
      <c r="L125" s="64"/>
      <c r="M125" s="103">
        <f t="shared" ref="M125" si="441">A124</f>
        <v>0</v>
      </c>
      <c r="N125" s="104" t="s">
        <v>39</v>
      </c>
      <c r="O125" s="104" t="s">
        <v>39</v>
      </c>
      <c r="P125" s="104" t="s">
        <v>40</v>
      </c>
      <c r="Q125" s="104" t="s">
        <v>40</v>
      </c>
      <c r="R125" s="104" t="s">
        <v>40</v>
      </c>
      <c r="S125" s="105"/>
      <c r="T125" s="106" t="s">
        <v>27</v>
      </c>
      <c r="U125" s="106" t="s">
        <v>40</v>
      </c>
      <c r="V125" s="106" t="s">
        <v>41</v>
      </c>
      <c r="W125" s="104" t="s">
        <v>42</v>
      </c>
      <c r="X125" s="104" t="s">
        <v>43</v>
      </c>
      <c r="Y125" s="104"/>
      <c r="Z125" s="104" t="s">
        <v>44</v>
      </c>
      <c r="AA125" s="107"/>
      <c r="AB125" s="104" t="s">
        <v>45</v>
      </c>
      <c r="AC125" s="104" t="s">
        <v>42</v>
      </c>
      <c r="AD125" s="104" t="s">
        <v>43</v>
      </c>
      <c r="AE125" s="104" t="s">
        <v>46</v>
      </c>
      <c r="AF125" s="108"/>
      <c r="AG125" s="109"/>
      <c r="AH125" s="64"/>
      <c r="AI125" s="262" t="str">
        <f>informatieblad!$A$2</f>
        <v>FL20 loose</v>
      </c>
      <c r="AJ125" s="263"/>
      <c r="AK125" s="262" t="str">
        <f>informatieblad!$A$3</f>
        <v>FL30 loose</v>
      </c>
      <c r="AL125" s="105"/>
      <c r="AM125" s="263" t="str">
        <f>informatieblad!$A$4</f>
        <v>FL40 loose</v>
      </c>
      <c r="AN125" s="105"/>
      <c r="AO125" s="265"/>
      <c r="AP125" s="105"/>
      <c r="AQ125" s="64"/>
      <c r="AR125" s="267"/>
      <c r="AS125" s="64"/>
      <c r="AT125" s="83" t="str">
        <f>'UC mounting materials '!$B$10</f>
        <v>Rail 30x15</v>
      </c>
      <c r="AU125" s="327">
        <f t="shared" ref="AU125" si="442">IF(Z126&lt;1000,(Z126+100),0)*C126</f>
        <v>0</v>
      </c>
      <c r="AV125" s="64"/>
      <c r="AW125" s="265" t="s">
        <v>47</v>
      </c>
      <c r="AX125" s="106" t="s">
        <v>48</v>
      </c>
      <c r="AY125" s="83" t="s">
        <v>23</v>
      </c>
      <c r="AZ125" s="83" t="s">
        <v>23</v>
      </c>
      <c r="BA125" s="83" t="s">
        <v>23</v>
      </c>
      <c r="BB125" s="273" t="s">
        <v>23</v>
      </c>
      <c r="BC125" s="83"/>
      <c r="BD125" t="s">
        <v>40</v>
      </c>
      <c r="BE125" s="83" t="s">
        <v>41</v>
      </c>
    </row>
    <row r="126" spans="1:57" ht="15.75" customHeight="1" thickBot="1">
      <c r="A126" s="468"/>
      <c r="B126" s="371" t="s">
        <v>23</v>
      </c>
      <c r="C126" s="412"/>
      <c r="D126" s="94">
        <f>C126*O126</f>
        <v>0</v>
      </c>
      <c r="E126" s="422" t="s">
        <v>24</v>
      </c>
      <c r="F126" s="93"/>
      <c r="G126" s="451" t="s">
        <v>25</v>
      </c>
      <c r="H126" s="530"/>
      <c r="I126" s="531"/>
      <c r="J126" s="83"/>
      <c r="K126" s="64"/>
      <c r="L126" s="64"/>
      <c r="M126" s="111"/>
      <c r="N126" s="112">
        <f t="shared" ref="N126" si="443">(((2*(B124+C124))*D124)/1000000)+(((B124-10)*(C124-10))/1000000)</f>
        <v>1E-4</v>
      </c>
      <c r="O126" s="112">
        <f>((IF(N126&lt;=informatieblad!$I$12,informatieblad!$I$12,IF(N126&gt;=informatieblad!$I$12,N126))))</f>
        <v>0.5</v>
      </c>
      <c r="P126" s="112">
        <f t="shared" ref="P126" si="444">(((2*B124)+(2*C124))*D124)/1000000+(((B124-10)*(C124-10))/1000000)</f>
        <v>1E-4</v>
      </c>
      <c r="Q126" s="112">
        <f>((IF(P126&lt;=informatieblad!$H$12,informatieblad!$H$12,IF(P126&gt;=informatieblad!$H$12,P126))))</f>
        <v>1E-4</v>
      </c>
      <c r="R126" s="113">
        <f t="shared" ref="R126" si="445">(((Q126*X126)+(Q126*U126))*C126)+BD126</f>
        <v>5</v>
      </c>
      <c r="S126" s="114">
        <f t="shared" ref="S126" si="446">(((O126*W126)+(O126*V126))*C126)+(BE126)</f>
        <v>12</v>
      </c>
      <c r="T126" s="115" t="str">
        <f t="shared" ref="T126" si="447">G126</f>
        <v>Options None</v>
      </c>
      <c r="U126" s="116">
        <f>VLOOKUP(G126,informatieblad!$A$37:$D$41,2,FALSE)</f>
        <v>0</v>
      </c>
      <c r="V126" s="116">
        <f>VLOOKUP(G126,informatieblad!$A$37:$D$41,4,FALSE)</f>
        <v>0</v>
      </c>
      <c r="W126" s="117">
        <f t="shared" ref="W126" si="448">((IF(D124&lt;=900,AC126,IF(D124&gt;=900,AE126))))</f>
        <v>45.1248</v>
      </c>
      <c r="X126" s="118">
        <f t="shared" ref="X126" si="449">((IF(D124&lt;=900,AB126,IF(D124&gt;=900,AD126))))</f>
        <v>0</v>
      </c>
      <c r="Y126" s="119"/>
      <c r="Z126" s="119">
        <f t="shared" ref="Z126" si="450">(MAX(B124:C124))</f>
        <v>0</v>
      </c>
      <c r="AA126" s="119">
        <f>LOOKUP(Z126,informatieblad!$C$27:$C$32,informatieblad!$A$27:$A$32)</f>
        <v>0.5</v>
      </c>
      <c r="AB126" s="118">
        <f>VLOOKUP(AA126,informatieblad!$A$27:$M$32,6,FALSE)</f>
        <v>0</v>
      </c>
      <c r="AC126" s="118">
        <f>VLOOKUP(AA126,informatieblad!$A$27:$M$32,8,FALSE)</f>
        <v>45.1248</v>
      </c>
      <c r="AD126" s="118">
        <f>VLOOKUP(AA126,informatieblad!$A$27:$M$32,9,FALSE)</f>
        <v>0</v>
      </c>
      <c r="AE126" s="118">
        <f>VLOOKUP(AA126,informatieblad!$A$27:$M$32,11,FALSE)</f>
        <v>32.463200000000001</v>
      </c>
      <c r="AF126" s="120">
        <f>VLOOKUP(AA126,informatieblad!$A$27:$M$32,13,FALSE)</f>
        <v>4</v>
      </c>
      <c r="AG126" s="121">
        <f t="shared" ref="AG126" si="451">ROUND((AF126*P126),1)</f>
        <v>0</v>
      </c>
      <c r="AH126" s="64"/>
      <c r="AI126" s="111">
        <f t="shared" ref="AI126" si="452">(IF(B125=AI124,((2*B124)+(2*C124)),IF(B125=AI125,((2*B124)+(2*C124)),0)))*C126</f>
        <v>0</v>
      </c>
      <c r="AJ126" s="261">
        <f t="shared" ref="AJ126" si="453">(IF(C125=AI124,((2*B124)+(2*C124)),IF(C125=AI125,((2*B124)+(2*C124)),0)))*C126</f>
        <v>0</v>
      </c>
      <c r="AK126" s="111">
        <f t="shared" ref="AK126" si="454">(IF(B125=AK124,((2*B124)+(2*C124)),IF(B125=AK125,((2*B124)+(2*C124)),0)))*C126</f>
        <v>0</v>
      </c>
      <c r="AL126" s="260">
        <f t="shared" ref="AL126" si="455">(IF(C125=AK124,((2*B124)+(2*C124)),IF(C125=AK125,((2*B124)+(2*C124)),0)))*C126</f>
        <v>0</v>
      </c>
      <c r="AM126" s="261">
        <f t="shared" ref="AM126" si="456">(IF(B125=AM124,((2*B124)+(2*C124)),IF(B125=AM125,((2*B124)+(2*C124)),0)))*C126</f>
        <v>0</v>
      </c>
      <c r="AN126" s="260">
        <f t="shared" ref="AN126" si="457">(IF(C125=AM124,((2*B124)+(2*C124)),IF(C125=AM125,((2*B124)+(2*C124)),0)))*C126</f>
        <v>0</v>
      </c>
      <c r="AO126" s="111">
        <f t="shared" ref="AO126" si="458">(IF(B125=AO124,((2*B124)+(2*C124)),0))*C126</f>
        <v>0</v>
      </c>
      <c r="AP126" s="260">
        <f t="shared" ref="AP126" si="459">(IF(C125=AO124,((2*B124)+(2*C124)),0))*C126</f>
        <v>0</v>
      </c>
      <c r="AQ126" s="64"/>
      <c r="AR126" s="268">
        <f t="shared" ref="AR126" si="460">D124*C126</f>
        <v>0</v>
      </c>
      <c r="AS126" s="64"/>
      <c r="AT126" s="83" t="str">
        <f>'UC mounting materials '!$B$11</f>
        <v>Rail 41x41</v>
      </c>
      <c r="AU126" s="268">
        <f t="shared" ref="AU126" si="461">IF(Z126&gt;999,(Z126+100),0)*C126</f>
        <v>0</v>
      </c>
      <c r="AV126" s="64"/>
      <c r="AW126" s="111" t="str">
        <f>IF(B125=informatieblad!$A$6,informatieblad!$B$6,IF(B125=informatieblad!$A$7,informatieblad!$B$7,IF(B125=informatieblad!$A$8,informatieblad!$B$8,IF(B125=informatieblad!$A$2,informatieblad!$B$2,IF(B125=informatieblad!$A$3,informatieblad!$B$3,IF(B125=informatieblad!$A$4,informatieblad!$B$4,IF(B125=informatieblad!$A$5,informatieblad!$B$5,"")))))))</f>
        <v/>
      </c>
      <c r="AX126" s="275" t="str">
        <f>IF(C125=informatieblad!$A$6,informatieblad!$B$6,IF(C125=informatieblad!$A$7,informatieblad!$B$7,IF(C125=informatieblad!$A$8,informatieblad!$B$8,IF(C125=informatieblad!$A$2,informatieblad!$B$2,IF(C125=informatieblad!$A$3,informatieblad!$B$3,IF(C125=informatieblad!$A$4,informatieblad!$B$4,IF(C125=informatieblad!$A$5,informatieblad!$B$5,"")))))))</f>
        <v/>
      </c>
      <c r="AY126" s="276">
        <f t="shared" ref="AY126" si="462">IF(AW126=AY124,(4*C126),0)</f>
        <v>0</v>
      </c>
      <c r="AZ126" s="276">
        <f t="shared" ref="AZ126" si="463">IF(AX126=AY124,(4*C126),0)</f>
        <v>0</v>
      </c>
      <c r="BA126" s="276">
        <f t="shared" ref="BA126" si="464">IF(AW126=BA124,(4*C126),0)</f>
        <v>0</v>
      </c>
      <c r="BB126" s="274">
        <f t="shared" ref="BB126" si="465">IF(AX126=BA124,(4*C126),0)</f>
        <v>0</v>
      </c>
      <c r="BC126" s="83"/>
      <c r="BD126" s="374">
        <v>5</v>
      </c>
      <c r="BE126">
        <f t="shared" ref="BE126" si="466">BD126*2.4</f>
        <v>12</v>
      </c>
    </row>
    <row r="127" spans="1:57" ht="5.0999999999999996" customHeight="1" thickBot="1">
      <c r="A127" s="88"/>
      <c r="B127" s="88"/>
      <c r="C127" s="88"/>
      <c r="D127" s="88"/>
      <c r="F127" s="88"/>
      <c r="G127" s="88"/>
      <c r="H127" s="88"/>
      <c r="I127" s="88"/>
      <c r="J127" s="83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83"/>
      <c r="AJ127" s="83"/>
      <c r="AK127" s="83"/>
      <c r="AL127" s="83"/>
      <c r="AM127" s="83"/>
      <c r="AN127" s="83"/>
      <c r="AO127" s="83"/>
      <c r="AP127" s="83"/>
      <c r="AQ127" s="64"/>
      <c r="AR127" s="83"/>
      <c r="AS127" s="64"/>
      <c r="AT127" s="64"/>
      <c r="AU127" s="83"/>
      <c r="AV127" s="64"/>
      <c r="AW127" s="83"/>
      <c r="AX127" s="83"/>
      <c r="AY127" s="83"/>
      <c r="AZ127" s="83"/>
      <c r="BA127" s="83"/>
      <c r="BB127" s="83"/>
      <c r="BC127" s="83"/>
    </row>
    <row r="128" spans="1:57" ht="15.75" customHeight="1" thickBot="1">
      <c r="A128" s="445"/>
      <c r="B128" s="96"/>
      <c r="C128" s="96"/>
      <c r="D128" s="96"/>
      <c r="E128" s="96"/>
      <c r="F128" s="421"/>
      <c r="G128" s="423" t="s">
        <v>181</v>
      </c>
      <c r="H128" s="424">
        <f>ROUND(((B128*C128)/1000000),2)</f>
        <v>0</v>
      </c>
      <c r="I128" s="425" t="s">
        <v>24</v>
      </c>
      <c r="J128" s="366" t="s">
        <v>20</v>
      </c>
      <c r="K128" s="64"/>
      <c r="L128" s="64"/>
      <c r="M128" s="97" t="s">
        <v>26</v>
      </c>
      <c r="N128" s="98" t="s">
        <v>27</v>
      </c>
      <c r="O128" s="98" t="s">
        <v>28</v>
      </c>
      <c r="P128" s="98" t="s">
        <v>27</v>
      </c>
      <c r="Q128" s="98" t="s">
        <v>28</v>
      </c>
      <c r="R128" s="98" t="s">
        <v>29</v>
      </c>
      <c r="S128" s="66" t="s">
        <v>30</v>
      </c>
      <c r="T128" s="99" t="s">
        <v>31</v>
      </c>
      <c r="U128" s="99"/>
      <c r="V128" s="99"/>
      <c r="W128" s="98" t="s">
        <v>32</v>
      </c>
      <c r="X128" s="98" t="s">
        <v>32</v>
      </c>
      <c r="Y128" s="98"/>
      <c r="Z128" s="98" t="s">
        <v>33</v>
      </c>
      <c r="AA128" s="100" t="s">
        <v>34</v>
      </c>
      <c r="AB128" s="98" t="s">
        <v>32</v>
      </c>
      <c r="AC128" s="98" t="s">
        <v>32</v>
      </c>
      <c r="AD128" s="98" t="s">
        <v>32</v>
      </c>
      <c r="AE128" s="98" t="s">
        <v>32</v>
      </c>
      <c r="AF128" s="98" t="s">
        <v>35</v>
      </c>
      <c r="AG128" s="101" t="s">
        <v>36</v>
      </c>
      <c r="AH128" s="64"/>
      <c r="AI128" s="97" t="str">
        <f>informatieblad!$A$6</f>
        <v>FL20</v>
      </c>
      <c r="AJ128" s="99"/>
      <c r="AK128" s="97" t="str">
        <f>informatieblad!$A$7</f>
        <v>FL30</v>
      </c>
      <c r="AL128" s="66"/>
      <c r="AM128" s="99" t="str">
        <f>informatieblad!$A$8</f>
        <v>FL40</v>
      </c>
      <c r="AN128" s="66"/>
      <c r="AO128" s="97" t="str">
        <f>informatieblad!$A$5</f>
        <v>none</v>
      </c>
      <c r="AP128" s="264"/>
      <c r="AQ128" s="64"/>
      <c r="AR128" s="266" t="s">
        <v>17</v>
      </c>
      <c r="AS128" s="64"/>
      <c r="AT128" s="64"/>
      <c r="AU128" s="266" t="s">
        <v>37</v>
      </c>
      <c r="AV128" s="64"/>
      <c r="AW128" s="269" t="s">
        <v>38</v>
      </c>
      <c r="AX128" s="272"/>
      <c r="AY128" s="272">
        <f>informatieblad!$B$3</f>
        <v>0</v>
      </c>
      <c r="AZ128" s="272">
        <f>informatieblad!$B$3</f>
        <v>0</v>
      </c>
      <c r="BA128" s="272">
        <f>informatieblad!$B$4</f>
        <v>0</v>
      </c>
      <c r="BB128" s="264">
        <f>informatieblad!$B$4</f>
        <v>0</v>
      </c>
      <c r="BC128" s="83"/>
      <c r="BD128" t="s">
        <v>182</v>
      </c>
    </row>
    <row r="129" spans="1:57" ht="15" customHeight="1">
      <c r="A129" s="467"/>
      <c r="B129" s="102" t="str">
        <f>IF($C130&gt;0,IF(MAX(B128:C128)&lt;informatieblad!$Q$4,informatieblad!$P$3,IF(MAX(B128:C128)&gt;informatieblad!$R$4,informatieblad!$P$5,informatieblad!$P$4)),"")</f>
        <v/>
      </c>
      <c r="C129" s="102" t="str">
        <f>IF($C130&gt;0,IF(MAX(B128:C128)&lt;informatieblad!$Q$4,informatieblad!$P$3,IF(MAX(B128:C128)&gt;informatieblad!$R$4,informatieblad!$P$5,informatieblad!$P$4)),"")</f>
        <v/>
      </c>
      <c r="D129" s="504"/>
      <c r="E129" s="527"/>
      <c r="F129" s="505" t="str">
        <f>A128&amp;"-"&amp;informatieblad!$B$21&amp;"-"&amp;B128&amp;"-"&amp;C128&amp;"-"&amp;D128&amp;"-"&amp;E128&amp;"-"&amp;B129&amp;"-"&amp;C129&amp;"-"&amp;G130</f>
        <v>-RctV-------Options None</v>
      </c>
      <c r="G129" s="528"/>
      <c r="H129" s="528"/>
      <c r="I129" s="529"/>
      <c r="J129" s="83"/>
      <c r="K129" s="64"/>
      <c r="L129" s="64"/>
      <c r="M129" s="103">
        <f t="shared" ref="M129" si="467">A128</f>
        <v>0</v>
      </c>
      <c r="N129" s="104" t="s">
        <v>39</v>
      </c>
      <c r="O129" s="104" t="s">
        <v>39</v>
      </c>
      <c r="P129" s="104" t="s">
        <v>40</v>
      </c>
      <c r="Q129" s="104" t="s">
        <v>40</v>
      </c>
      <c r="R129" s="104" t="s">
        <v>40</v>
      </c>
      <c r="S129" s="105"/>
      <c r="T129" s="106" t="s">
        <v>27</v>
      </c>
      <c r="U129" s="106" t="s">
        <v>40</v>
      </c>
      <c r="V129" s="106" t="s">
        <v>41</v>
      </c>
      <c r="W129" s="104" t="s">
        <v>42</v>
      </c>
      <c r="X129" s="104" t="s">
        <v>43</v>
      </c>
      <c r="Y129" s="104"/>
      <c r="Z129" s="104" t="s">
        <v>44</v>
      </c>
      <c r="AA129" s="107"/>
      <c r="AB129" s="104" t="s">
        <v>45</v>
      </c>
      <c r="AC129" s="104" t="s">
        <v>42</v>
      </c>
      <c r="AD129" s="104" t="s">
        <v>43</v>
      </c>
      <c r="AE129" s="104" t="s">
        <v>46</v>
      </c>
      <c r="AF129" s="108"/>
      <c r="AG129" s="109"/>
      <c r="AH129" s="64"/>
      <c r="AI129" s="262" t="str">
        <f>informatieblad!$A$2</f>
        <v>FL20 loose</v>
      </c>
      <c r="AJ129" s="263"/>
      <c r="AK129" s="262" t="str">
        <f>informatieblad!$A$3</f>
        <v>FL30 loose</v>
      </c>
      <c r="AL129" s="105"/>
      <c r="AM129" s="263" t="str">
        <f>informatieblad!$A$4</f>
        <v>FL40 loose</v>
      </c>
      <c r="AN129" s="105"/>
      <c r="AO129" s="265"/>
      <c r="AP129" s="105"/>
      <c r="AQ129" s="64"/>
      <c r="AR129" s="267"/>
      <c r="AS129" s="64"/>
      <c r="AT129" s="83" t="str">
        <f>'UC mounting materials '!$B$10</f>
        <v>Rail 30x15</v>
      </c>
      <c r="AU129" s="327">
        <f t="shared" ref="AU129" si="468">IF(Z130&lt;1000,(Z130+100),0)*C130</f>
        <v>0</v>
      </c>
      <c r="AV129" s="64"/>
      <c r="AW129" s="265" t="s">
        <v>47</v>
      </c>
      <c r="AX129" s="106" t="s">
        <v>48</v>
      </c>
      <c r="AY129" s="83" t="s">
        <v>23</v>
      </c>
      <c r="AZ129" s="83" t="s">
        <v>23</v>
      </c>
      <c r="BA129" s="83" t="s">
        <v>23</v>
      </c>
      <c r="BB129" s="273" t="s">
        <v>23</v>
      </c>
      <c r="BC129" s="83"/>
      <c r="BD129" t="s">
        <v>40</v>
      </c>
      <c r="BE129" s="83" t="s">
        <v>41</v>
      </c>
    </row>
    <row r="130" spans="1:57" ht="15.75" customHeight="1" thickBot="1">
      <c r="A130" s="468"/>
      <c r="B130" s="371" t="s">
        <v>23</v>
      </c>
      <c r="C130" s="412"/>
      <c r="D130" s="94">
        <f>C130*O130</f>
        <v>0</v>
      </c>
      <c r="E130" s="422" t="s">
        <v>24</v>
      </c>
      <c r="F130" s="93"/>
      <c r="G130" s="451" t="s">
        <v>25</v>
      </c>
      <c r="H130" s="530"/>
      <c r="I130" s="531"/>
      <c r="J130" s="83"/>
      <c r="K130" s="64"/>
      <c r="L130" s="64"/>
      <c r="M130" s="111"/>
      <c r="N130" s="112">
        <f t="shared" ref="N130" si="469">(((2*(B128+C128))*D128)/1000000)+(((B128-10)*(C128-10))/1000000)</f>
        <v>1E-4</v>
      </c>
      <c r="O130" s="112">
        <f>((IF(N130&lt;=informatieblad!$I$12,informatieblad!$I$12,IF(N130&gt;=informatieblad!$I$12,N130))))</f>
        <v>0.5</v>
      </c>
      <c r="P130" s="112">
        <f t="shared" ref="P130" si="470">(((2*B128)+(2*C128))*D128)/1000000+(((B128-10)*(C128-10))/1000000)</f>
        <v>1E-4</v>
      </c>
      <c r="Q130" s="112">
        <f>((IF(P130&lt;=informatieblad!$H$12,informatieblad!$H$12,IF(P130&gt;=informatieblad!$H$12,P130))))</f>
        <v>1E-4</v>
      </c>
      <c r="R130" s="113">
        <f t="shared" ref="R130" si="471">(((Q130*X130)+(Q130*U130))*C130)+BD130</f>
        <v>5</v>
      </c>
      <c r="S130" s="114">
        <f t="shared" ref="S130" si="472">(((O130*W130)+(O130*V130))*C130)+(BE130)</f>
        <v>12</v>
      </c>
      <c r="T130" s="115" t="str">
        <f t="shared" ref="T130" si="473">G130</f>
        <v>Options None</v>
      </c>
      <c r="U130" s="116">
        <f>VLOOKUP(G130,informatieblad!$A$37:$D$41,2,FALSE)</f>
        <v>0</v>
      </c>
      <c r="V130" s="116">
        <f>VLOOKUP(G130,informatieblad!$A$37:$D$41,4,FALSE)</f>
        <v>0</v>
      </c>
      <c r="W130" s="117">
        <f t="shared" ref="W130" si="474">((IF(D128&lt;=900,AC130,IF(D128&gt;=900,AE130))))</f>
        <v>45.1248</v>
      </c>
      <c r="X130" s="118">
        <f t="shared" ref="X130" si="475">((IF(D128&lt;=900,AB130,IF(D128&gt;=900,AD130))))</f>
        <v>0</v>
      </c>
      <c r="Y130" s="119"/>
      <c r="Z130" s="119">
        <f t="shared" ref="Z130" si="476">(MAX(B128:C128))</f>
        <v>0</v>
      </c>
      <c r="AA130" s="119">
        <f>LOOKUP(Z130,informatieblad!$C$27:$C$32,informatieblad!$A$27:$A$32)</f>
        <v>0.5</v>
      </c>
      <c r="AB130" s="118">
        <f>VLOOKUP(AA130,informatieblad!$A$27:$M$32,6,FALSE)</f>
        <v>0</v>
      </c>
      <c r="AC130" s="118">
        <f>VLOOKUP(AA130,informatieblad!$A$27:$M$32,8,FALSE)</f>
        <v>45.1248</v>
      </c>
      <c r="AD130" s="118">
        <f>VLOOKUP(AA130,informatieblad!$A$27:$M$32,9,FALSE)</f>
        <v>0</v>
      </c>
      <c r="AE130" s="118">
        <f>VLOOKUP(AA130,informatieblad!$A$27:$M$32,11,FALSE)</f>
        <v>32.463200000000001</v>
      </c>
      <c r="AF130" s="120">
        <f>VLOOKUP(AA130,informatieblad!$A$27:$M$32,13,FALSE)</f>
        <v>4</v>
      </c>
      <c r="AG130" s="121">
        <f t="shared" ref="AG130" si="477">ROUND((AF130*P130),1)</f>
        <v>0</v>
      </c>
      <c r="AH130" s="64"/>
      <c r="AI130" s="111">
        <f t="shared" ref="AI130" si="478">(IF(B129=AI128,((2*B128)+(2*C128)),IF(B129=AI129,((2*B128)+(2*C128)),0)))*C130</f>
        <v>0</v>
      </c>
      <c r="AJ130" s="261">
        <f t="shared" ref="AJ130" si="479">(IF(C129=AI128,((2*B128)+(2*C128)),IF(C129=AI129,((2*B128)+(2*C128)),0)))*C130</f>
        <v>0</v>
      </c>
      <c r="AK130" s="111">
        <f t="shared" ref="AK130" si="480">(IF(B129=AK128,((2*B128)+(2*C128)),IF(B129=AK129,((2*B128)+(2*C128)),0)))*C130</f>
        <v>0</v>
      </c>
      <c r="AL130" s="260">
        <f t="shared" ref="AL130" si="481">(IF(C129=AK128,((2*B128)+(2*C128)),IF(C129=AK129,((2*B128)+(2*C128)),0)))*C130</f>
        <v>0</v>
      </c>
      <c r="AM130" s="261">
        <f t="shared" ref="AM130" si="482">(IF(B129=AM128,((2*B128)+(2*C128)),IF(B129=AM129,((2*B128)+(2*C128)),0)))*C130</f>
        <v>0</v>
      </c>
      <c r="AN130" s="260">
        <f t="shared" ref="AN130" si="483">(IF(C129=AM128,((2*B128)+(2*C128)),IF(C129=AM129,((2*B128)+(2*C128)),0)))*C130</f>
        <v>0</v>
      </c>
      <c r="AO130" s="111">
        <f t="shared" ref="AO130" si="484">(IF(B129=AO128,((2*B128)+(2*C128)),0))*C130</f>
        <v>0</v>
      </c>
      <c r="AP130" s="260">
        <f t="shared" ref="AP130" si="485">(IF(C129=AO128,((2*B128)+(2*C128)),0))*C130</f>
        <v>0</v>
      </c>
      <c r="AQ130" s="64"/>
      <c r="AR130" s="268">
        <f t="shared" ref="AR130" si="486">D128*C130</f>
        <v>0</v>
      </c>
      <c r="AS130" s="64"/>
      <c r="AT130" s="83" t="str">
        <f>'UC mounting materials '!$B$11</f>
        <v>Rail 41x41</v>
      </c>
      <c r="AU130" s="268">
        <f t="shared" ref="AU130" si="487">IF(Z130&gt;999,(Z130+100),0)*C130</f>
        <v>0</v>
      </c>
      <c r="AV130" s="64"/>
      <c r="AW130" s="111" t="str">
        <f>IF(B129=informatieblad!$A$6,informatieblad!$B$6,IF(B129=informatieblad!$A$7,informatieblad!$B$7,IF(B129=informatieblad!$A$8,informatieblad!$B$8,IF(B129=informatieblad!$A$2,informatieblad!$B$2,IF(B129=informatieblad!$A$3,informatieblad!$B$3,IF(B129=informatieblad!$A$4,informatieblad!$B$4,IF(B129=informatieblad!$A$5,informatieblad!$B$5,"")))))))</f>
        <v/>
      </c>
      <c r="AX130" s="275" t="str">
        <f>IF(C129=informatieblad!$A$6,informatieblad!$B$6,IF(C129=informatieblad!$A$7,informatieblad!$B$7,IF(C129=informatieblad!$A$8,informatieblad!$B$8,IF(C129=informatieblad!$A$2,informatieblad!$B$2,IF(C129=informatieblad!$A$3,informatieblad!$B$3,IF(C129=informatieblad!$A$4,informatieblad!$B$4,IF(C129=informatieblad!$A$5,informatieblad!$B$5,"")))))))</f>
        <v/>
      </c>
      <c r="AY130" s="276">
        <f t="shared" ref="AY130" si="488">IF(AW130=AY128,(4*C130),0)</f>
        <v>0</v>
      </c>
      <c r="AZ130" s="276">
        <f t="shared" ref="AZ130" si="489">IF(AX130=AY128,(4*C130),0)</f>
        <v>0</v>
      </c>
      <c r="BA130" s="276">
        <f t="shared" ref="BA130" si="490">IF(AW130=BA128,(4*C130),0)</f>
        <v>0</v>
      </c>
      <c r="BB130" s="274">
        <f t="shared" ref="BB130" si="491">IF(AX130=BA128,(4*C130),0)</f>
        <v>0</v>
      </c>
      <c r="BC130" s="83"/>
      <c r="BD130" s="374">
        <v>5</v>
      </c>
      <c r="BE130">
        <f t="shared" ref="BE130" si="492">BD130*2.4</f>
        <v>12</v>
      </c>
    </row>
    <row r="131" spans="1:57" ht="5.0999999999999996" customHeight="1" thickBot="1">
      <c r="A131" s="88"/>
      <c r="B131" s="88"/>
      <c r="C131" s="88"/>
      <c r="D131" s="88"/>
      <c r="F131" s="88"/>
      <c r="G131" s="88"/>
      <c r="H131" s="88"/>
      <c r="I131" s="88"/>
      <c r="J131" s="83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83"/>
      <c r="AJ131" s="83"/>
      <c r="AK131" s="83"/>
      <c r="AL131" s="83"/>
      <c r="AM131" s="83"/>
      <c r="AN131" s="83"/>
      <c r="AO131" s="83"/>
      <c r="AP131" s="83"/>
      <c r="AQ131" s="64"/>
      <c r="AR131" s="83"/>
      <c r="AS131" s="64"/>
      <c r="AT131" s="64"/>
      <c r="AU131" s="83"/>
      <c r="AV131" s="64"/>
      <c r="AW131" s="83"/>
      <c r="AX131" s="83"/>
      <c r="AY131" s="83"/>
      <c r="AZ131" s="83"/>
      <c r="BA131" s="83"/>
      <c r="BB131" s="83"/>
      <c r="BC131" s="83"/>
    </row>
    <row r="132" spans="1:57" ht="15.75" customHeight="1" thickBot="1">
      <c r="A132" s="445"/>
      <c r="B132" s="96"/>
      <c r="C132" s="96"/>
      <c r="D132" s="96"/>
      <c r="E132" s="96"/>
      <c r="F132" s="421"/>
      <c r="G132" s="423" t="s">
        <v>181</v>
      </c>
      <c r="H132" s="424">
        <f>ROUND(((B132*C132)/1000000),2)</f>
        <v>0</v>
      </c>
      <c r="I132" s="425" t="s">
        <v>24</v>
      </c>
      <c r="J132" s="366" t="s">
        <v>20</v>
      </c>
      <c r="K132" s="64"/>
      <c r="L132" s="64"/>
      <c r="M132" s="97" t="s">
        <v>26</v>
      </c>
      <c r="N132" s="98" t="s">
        <v>27</v>
      </c>
      <c r="O132" s="98" t="s">
        <v>28</v>
      </c>
      <c r="P132" s="98" t="s">
        <v>27</v>
      </c>
      <c r="Q132" s="98" t="s">
        <v>28</v>
      </c>
      <c r="R132" s="98" t="s">
        <v>29</v>
      </c>
      <c r="S132" s="66" t="s">
        <v>30</v>
      </c>
      <c r="T132" s="99" t="s">
        <v>31</v>
      </c>
      <c r="U132" s="99"/>
      <c r="V132" s="99"/>
      <c r="W132" s="98" t="s">
        <v>32</v>
      </c>
      <c r="X132" s="98" t="s">
        <v>32</v>
      </c>
      <c r="Y132" s="98"/>
      <c r="Z132" s="98" t="s">
        <v>33</v>
      </c>
      <c r="AA132" s="100" t="s">
        <v>34</v>
      </c>
      <c r="AB132" s="98" t="s">
        <v>32</v>
      </c>
      <c r="AC132" s="98" t="s">
        <v>32</v>
      </c>
      <c r="AD132" s="98" t="s">
        <v>32</v>
      </c>
      <c r="AE132" s="98" t="s">
        <v>32</v>
      </c>
      <c r="AF132" s="98" t="s">
        <v>35</v>
      </c>
      <c r="AG132" s="101" t="s">
        <v>36</v>
      </c>
      <c r="AH132" s="64"/>
      <c r="AI132" s="97" t="str">
        <f>informatieblad!$A$6</f>
        <v>FL20</v>
      </c>
      <c r="AJ132" s="99"/>
      <c r="AK132" s="97" t="str">
        <f>informatieblad!$A$7</f>
        <v>FL30</v>
      </c>
      <c r="AL132" s="66"/>
      <c r="AM132" s="99" t="str">
        <f>informatieblad!$A$8</f>
        <v>FL40</v>
      </c>
      <c r="AN132" s="66"/>
      <c r="AO132" s="97" t="str">
        <f>informatieblad!$A$5</f>
        <v>none</v>
      </c>
      <c r="AP132" s="264"/>
      <c r="AQ132" s="64"/>
      <c r="AR132" s="266" t="s">
        <v>17</v>
      </c>
      <c r="AS132" s="64"/>
      <c r="AT132" s="64"/>
      <c r="AU132" s="266" t="s">
        <v>37</v>
      </c>
      <c r="AV132" s="64"/>
      <c r="AW132" s="269" t="s">
        <v>38</v>
      </c>
      <c r="AX132" s="272"/>
      <c r="AY132" s="272">
        <f>informatieblad!$B$3</f>
        <v>0</v>
      </c>
      <c r="AZ132" s="272">
        <f>informatieblad!$B$3</f>
        <v>0</v>
      </c>
      <c r="BA132" s="272">
        <f>informatieblad!$B$4</f>
        <v>0</v>
      </c>
      <c r="BB132" s="264">
        <f>informatieblad!$B$4</f>
        <v>0</v>
      </c>
      <c r="BC132" s="83"/>
      <c r="BD132" t="s">
        <v>182</v>
      </c>
    </row>
    <row r="133" spans="1:57" ht="15" customHeight="1">
      <c r="A133" s="467"/>
      <c r="B133" s="102" t="str">
        <f>IF($C134&gt;0,IF(MAX(B132:C132)&lt;informatieblad!$Q$4,informatieblad!$P$3,IF(MAX(B132:C132)&gt;informatieblad!$R$4,informatieblad!$P$5,informatieblad!$P$4)),"")</f>
        <v/>
      </c>
      <c r="C133" s="102" t="str">
        <f>IF($C134&gt;0,IF(MAX(B132:C132)&lt;informatieblad!$Q$4,informatieblad!$P$3,IF(MAX(B132:C132)&gt;informatieblad!$R$4,informatieblad!$P$5,informatieblad!$P$4)),"")</f>
        <v/>
      </c>
      <c r="D133" s="504"/>
      <c r="E133" s="527"/>
      <c r="F133" s="505" t="str">
        <f>A132&amp;"-"&amp;informatieblad!$B$21&amp;"-"&amp;B132&amp;"-"&amp;C132&amp;"-"&amp;D132&amp;"-"&amp;E132&amp;"-"&amp;B133&amp;"-"&amp;C133&amp;"-"&amp;G134</f>
        <v>-RctV-------Options None</v>
      </c>
      <c r="G133" s="528"/>
      <c r="H133" s="528"/>
      <c r="I133" s="529"/>
      <c r="J133" s="83"/>
      <c r="K133" s="64"/>
      <c r="L133" s="64"/>
      <c r="M133" s="103">
        <f t="shared" ref="M133" si="493">A132</f>
        <v>0</v>
      </c>
      <c r="N133" s="104" t="s">
        <v>39</v>
      </c>
      <c r="O133" s="104" t="s">
        <v>39</v>
      </c>
      <c r="P133" s="104" t="s">
        <v>40</v>
      </c>
      <c r="Q133" s="104" t="s">
        <v>40</v>
      </c>
      <c r="R133" s="104" t="s">
        <v>40</v>
      </c>
      <c r="S133" s="105"/>
      <c r="T133" s="106" t="s">
        <v>27</v>
      </c>
      <c r="U133" s="106" t="s">
        <v>40</v>
      </c>
      <c r="V133" s="106" t="s">
        <v>41</v>
      </c>
      <c r="W133" s="104" t="s">
        <v>42</v>
      </c>
      <c r="X133" s="104" t="s">
        <v>43</v>
      </c>
      <c r="Y133" s="104"/>
      <c r="Z133" s="104" t="s">
        <v>44</v>
      </c>
      <c r="AA133" s="107"/>
      <c r="AB133" s="104" t="s">
        <v>45</v>
      </c>
      <c r="AC133" s="104" t="s">
        <v>42</v>
      </c>
      <c r="AD133" s="104" t="s">
        <v>43</v>
      </c>
      <c r="AE133" s="104" t="s">
        <v>46</v>
      </c>
      <c r="AF133" s="108"/>
      <c r="AG133" s="109"/>
      <c r="AH133" s="64"/>
      <c r="AI133" s="262" t="str">
        <f>informatieblad!$A$2</f>
        <v>FL20 loose</v>
      </c>
      <c r="AJ133" s="263"/>
      <c r="AK133" s="262" t="str">
        <f>informatieblad!$A$3</f>
        <v>FL30 loose</v>
      </c>
      <c r="AL133" s="105"/>
      <c r="AM133" s="263" t="str">
        <f>informatieblad!$A$4</f>
        <v>FL40 loose</v>
      </c>
      <c r="AN133" s="105"/>
      <c r="AO133" s="265"/>
      <c r="AP133" s="105"/>
      <c r="AQ133" s="64"/>
      <c r="AR133" s="267"/>
      <c r="AS133" s="64"/>
      <c r="AT133" s="83" t="str">
        <f>'UC mounting materials '!$B$10</f>
        <v>Rail 30x15</v>
      </c>
      <c r="AU133" s="327">
        <f t="shared" ref="AU133" si="494">IF(Z134&lt;1000,(Z134+100),0)*C134</f>
        <v>0</v>
      </c>
      <c r="AV133" s="64"/>
      <c r="AW133" s="265" t="s">
        <v>47</v>
      </c>
      <c r="AX133" s="106" t="s">
        <v>48</v>
      </c>
      <c r="AY133" s="83" t="s">
        <v>23</v>
      </c>
      <c r="AZ133" s="83" t="s">
        <v>23</v>
      </c>
      <c r="BA133" s="83" t="s">
        <v>23</v>
      </c>
      <c r="BB133" s="273" t="s">
        <v>23</v>
      </c>
      <c r="BC133" s="83"/>
      <c r="BD133" t="s">
        <v>40</v>
      </c>
      <c r="BE133" s="83" t="s">
        <v>41</v>
      </c>
    </row>
    <row r="134" spans="1:57" ht="15.75" customHeight="1" thickBot="1">
      <c r="A134" s="468"/>
      <c r="B134" s="371" t="s">
        <v>23</v>
      </c>
      <c r="C134" s="412"/>
      <c r="D134" s="94">
        <f>C134*O134</f>
        <v>0</v>
      </c>
      <c r="E134" s="422" t="s">
        <v>24</v>
      </c>
      <c r="F134" s="93"/>
      <c r="G134" s="451" t="s">
        <v>25</v>
      </c>
      <c r="H134" s="530"/>
      <c r="I134" s="531"/>
      <c r="J134" s="83"/>
      <c r="K134" s="64"/>
      <c r="L134" s="64"/>
      <c r="M134" s="111"/>
      <c r="N134" s="112">
        <f t="shared" ref="N134" si="495">(((2*(B132+C132))*D132)/1000000)+(((B132-10)*(C132-10))/1000000)</f>
        <v>1E-4</v>
      </c>
      <c r="O134" s="112">
        <f>((IF(N134&lt;=informatieblad!$I$12,informatieblad!$I$12,IF(N134&gt;=informatieblad!$I$12,N134))))</f>
        <v>0.5</v>
      </c>
      <c r="P134" s="112">
        <f t="shared" ref="P134" si="496">(((2*B132)+(2*C132))*D132)/1000000+(((B132-10)*(C132-10))/1000000)</f>
        <v>1E-4</v>
      </c>
      <c r="Q134" s="112">
        <f>((IF(P134&lt;=informatieblad!$H$12,informatieblad!$H$12,IF(P134&gt;=informatieblad!$H$12,P134))))</f>
        <v>1E-4</v>
      </c>
      <c r="R134" s="113">
        <f>(((Q134*X134)+(Q134*U134))*C134)+BD134</f>
        <v>5</v>
      </c>
      <c r="S134" s="114">
        <f t="shared" ref="S134" si="497">(((O134*W134)+(O134*V134))*C134)+(BE134)</f>
        <v>12</v>
      </c>
      <c r="T134" s="115" t="str">
        <f t="shared" ref="T134" si="498">G134</f>
        <v>Options None</v>
      </c>
      <c r="U134" s="116">
        <f>VLOOKUP(G134,informatieblad!$A$37:$D$41,2,FALSE)</f>
        <v>0</v>
      </c>
      <c r="V134" s="116">
        <f>VLOOKUP(G134,informatieblad!$A$37:$D$41,4,FALSE)</f>
        <v>0</v>
      </c>
      <c r="W134" s="117">
        <f t="shared" ref="W134" si="499">((IF(D132&lt;=900,AC134,IF(D132&gt;=900,AE134))))</f>
        <v>45.1248</v>
      </c>
      <c r="X134" s="118">
        <f t="shared" ref="X134" si="500">((IF(D132&lt;=900,AB134,IF(D132&gt;=900,AD134))))</f>
        <v>0</v>
      </c>
      <c r="Y134" s="119"/>
      <c r="Z134" s="119">
        <f t="shared" ref="Z134" si="501">(MAX(B132:C132))</f>
        <v>0</v>
      </c>
      <c r="AA134" s="119">
        <f>LOOKUP(Z134,informatieblad!$C$27:$C$32,informatieblad!$A$27:$A$32)</f>
        <v>0.5</v>
      </c>
      <c r="AB134" s="118">
        <f>VLOOKUP(AA134,informatieblad!$A$27:$M$32,6,FALSE)</f>
        <v>0</v>
      </c>
      <c r="AC134" s="118">
        <f>VLOOKUP(AA134,informatieblad!$A$27:$M$32,8,FALSE)</f>
        <v>45.1248</v>
      </c>
      <c r="AD134" s="118">
        <f>VLOOKUP(AA134,informatieblad!$A$27:$M$32,9,FALSE)</f>
        <v>0</v>
      </c>
      <c r="AE134" s="118">
        <f>VLOOKUP(AA134,informatieblad!$A$27:$M$32,11,FALSE)</f>
        <v>32.463200000000001</v>
      </c>
      <c r="AF134" s="120">
        <f>VLOOKUP(AA134,informatieblad!$A$27:$M$32,13,FALSE)</f>
        <v>4</v>
      </c>
      <c r="AG134" s="121">
        <f t="shared" ref="AG134" si="502">ROUND((AF134*P134),1)</f>
        <v>0</v>
      </c>
      <c r="AH134" s="64"/>
      <c r="AI134" s="111">
        <f t="shared" ref="AI134" si="503">(IF(B133=AI132,((2*B132)+(2*C132)),IF(B133=AI133,((2*B132)+(2*C132)),0)))*C134</f>
        <v>0</v>
      </c>
      <c r="AJ134" s="261">
        <f t="shared" ref="AJ134" si="504">(IF(C133=AI132,((2*B132)+(2*C132)),IF(C133=AI133,((2*B132)+(2*C132)),0)))*C134</f>
        <v>0</v>
      </c>
      <c r="AK134" s="111">
        <f t="shared" ref="AK134" si="505">(IF(B133=AK132,((2*B132)+(2*C132)),IF(B133=AK133,((2*B132)+(2*C132)),0)))*C134</f>
        <v>0</v>
      </c>
      <c r="AL134" s="260">
        <f t="shared" ref="AL134" si="506">(IF(C133=AK132,((2*B132)+(2*C132)),IF(C133=AK133,((2*B132)+(2*C132)),0)))*C134</f>
        <v>0</v>
      </c>
      <c r="AM134" s="261">
        <f t="shared" ref="AM134" si="507">(IF(B133=AM132,((2*B132)+(2*C132)),IF(B133=AM133,((2*B132)+(2*C132)),0)))*C134</f>
        <v>0</v>
      </c>
      <c r="AN134" s="260">
        <f t="shared" ref="AN134" si="508">(IF(C133=AM132,((2*B132)+(2*C132)),IF(C133=AM133,((2*B132)+(2*C132)),0)))*C134</f>
        <v>0</v>
      </c>
      <c r="AO134" s="111">
        <f t="shared" ref="AO134" si="509">(IF(B133=AO132,((2*B132)+(2*C132)),0))*C134</f>
        <v>0</v>
      </c>
      <c r="AP134" s="260">
        <f t="shared" ref="AP134" si="510">(IF(C133=AO132,((2*B132)+(2*C132)),0))*C134</f>
        <v>0</v>
      </c>
      <c r="AQ134" s="64"/>
      <c r="AR134" s="268">
        <f t="shared" ref="AR134" si="511">D132*C134</f>
        <v>0</v>
      </c>
      <c r="AS134" s="64"/>
      <c r="AT134" s="83" t="str">
        <f>'UC mounting materials '!$B$11</f>
        <v>Rail 41x41</v>
      </c>
      <c r="AU134" s="268">
        <f t="shared" ref="AU134" si="512">IF(Z134&gt;999,(Z134+100),0)*C134</f>
        <v>0</v>
      </c>
      <c r="AV134" s="64"/>
      <c r="AW134" s="111" t="str">
        <f>IF(B133=informatieblad!$A$6,informatieblad!$B$6,IF(B133=informatieblad!$A$7,informatieblad!$B$7,IF(B133=informatieblad!$A$8,informatieblad!$B$8,IF(B133=informatieblad!$A$2,informatieblad!$B$2,IF(B133=informatieblad!$A$3,informatieblad!$B$3,IF(B133=informatieblad!$A$4,informatieblad!$B$4,IF(B133=informatieblad!$A$5,informatieblad!$B$5,"")))))))</f>
        <v/>
      </c>
      <c r="AX134" s="275" t="str">
        <f>IF(C133=informatieblad!$A$6,informatieblad!$B$6,IF(C133=informatieblad!$A$7,informatieblad!$B$7,IF(C133=informatieblad!$A$8,informatieblad!$B$8,IF(C133=informatieblad!$A$2,informatieblad!$B$2,IF(C133=informatieblad!$A$3,informatieblad!$B$3,IF(C133=informatieblad!$A$4,informatieblad!$B$4,IF(C133=informatieblad!$A$5,informatieblad!$B$5,"")))))))</f>
        <v/>
      </c>
      <c r="AY134" s="276">
        <f t="shared" ref="AY134" si="513">IF(AW134=AY132,(4*C134),0)</f>
        <v>0</v>
      </c>
      <c r="AZ134" s="276">
        <f t="shared" ref="AZ134" si="514">IF(AX134=AY132,(4*C134),0)</f>
        <v>0</v>
      </c>
      <c r="BA134" s="276">
        <f t="shared" ref="BA134" si="515">IF(AW134=BA132,(4*C134),0)</f>
        <v>0</v>
      </c>
      <c r="BB134" s="274">
        <f t="shared" ref="BB134" si="516">IF(AX134=BA132,(4*C134),0)</f>
        <v>0</v>
      </c>
      <c r="BC134" s="83"/>
      <c r="BD134" s="374">
        <v>5</v>
      </c>
      <c r="BE134">
        <f t="shared" ref="BE134" si="517">BD134*2.4</f>
        <v>12</v>
      </c>
    </row>
    <row r="135" spans="1:57" ht="5.0999999999999996" customHeight="1" thickBot="1">
      <c r="A135" s="88"/>
      <c r="B135" s="88"/>
      <c r="C135" s="88"/>
      <c r="D135" s="88"/>
      <c r="F135" s="88"/>
      <c r="G135" s="88"/>
      <c r="H135" s="88"/>
      <c r="I135" s="88"/>
      <c r="J135" s="83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83"/>
      <c r="AJ135" s="83"/>
      <c r="AK135" s="83"/>
      <c r="AL135" s="83"/>
      <c r="AM135" s="83"/>
      <c r="AN135" s="83"/>
      <c r="AO135" s="83"/>
      <c r="AP135" s="83"/>
      <c r="AQ135" s="64"/>
      <c r="AR135" s="83"/>
      <c r="AS135" s="64"/>
      <c r="AT135" s="64"/>
      <c r="AU135" s="83"/>
      <c r="AV135" s="64"/>
      <c r="AW135" s="83"/>
      <c r="AX135" s="83"/>
      <c r="AY135" s="83"/>
      <c r="AZ135" s="83"/>
      <c r="BA135" s="83"/>
      <c r="BB135" s="83"/>
      <c r="BC135" s="83"/>
    </row>
    <row r="136" spans="1:57" ht="15.75" customHeight="1" thickBot="1">
      <c r="A136" s="445"/>
      <c r="B136" s="96"/>
      <c r="C136" s="96"/>
      <c r="D136" s="96"/>
      <c r="E136" s="96"/>
      <c r="F136" s="421"/>
      <c r="G136" s="423" t="s">
        <v>181</v>
      </c>
      <c r="H136" s="424">
        <f>ROUND(((B136*C136)/1000000),2)</f>
        <v>0</v>
      </c>
      <c r="I136" s="425" t="s">
        <v>24</v>
      </c>
      <c r="J136" s="366" t="s">
        <v>20</v>
      </c>
      <c r="K136" s="64"/>
      <c r="L136" s="64"/>
      <c r="M136" s="97" t="s">
        <v>26</v>
      </c>
      <c r="N136" s="98" t="s">
        <v>27</v>
      </c>
      <c r="O136" s="98" t="s">
        <v>28</v>
      </c>
      <c r="P136" s="98" t="s">
        <v>27</v>
      </c>
      <c r="Q136" s="98" t="s">
        <v>28</v>
      </c>
      <c r="R136" s="98" t="s">
        <v>29</v>
      </c>
      <c r="S136" s="66" t="s">
        <v>30</v>
      </c>
      <c r="T136" s="99" t="s">
        <v>31</v>
      </c>
      <c r="U136" s="99"/>
      <c r="V136" s="99"/>
      <c r="W136" s="98" t="s">
        <v>32</v>
      </c>
      <c r="X136" s="98" t="s">
        <v>32</v>
      </c>
      <c r="Y136" s="98"/>
      <c r="Z136" s="98" t="s">
        <v>33</v>
      </c>
      <c r="AA136" s="100" t="s">
        <v>34</v>
      </c>
      <c r="AB136" s="98" t="s">
        <v>32</v>
      </c>
      <c r="AC136" s="98" t="s">
        <v>32</v>
      </c>
      <c r="AD136" s="98" t="s">
        <v>32</v>
      </c>
      <c r="AE136" s="98" t="s">
        <v>32</v>
      </c>
      <c r="AF136" s="98" t="s">
        <v>35</v>
      </c>
      <c r="AG136" s="101" t="s">
        <v>36</v>
      </c>
      <c r="AH136" s="64"/>
      <c r="AI136" s="97" t="str">
        <f>informatieblad!$A$6</f>
        <v>FL20</v>
      </c>
      <c r="AJ136" s="99"/>
      <c r="AK136" s="97" t="str">
        <f>informatieblad!$A$7</f>
        <v>FL30</v>
      </c>
      <c r="AL136" s="66"/>
      <c r="AM136" s="99" t="str">
        <f>informatieblad!$A$8</f>
        <v>FL40</v>
      </c>
      <c r="AN136" s="66"/>
      <c r="AO136" s="97" t="str">
        <f>informatieblad!$A$5</f>
        <v>none</v>
      </c>
      <c r="AP136" s="264"/>
      <c r="AQ136" s="64"/>
      <c r="AR136" s="266" t="s">
        <v>17</v>
      </c>
      <c r="AS136" s="64"/>
      <c r="AT136" s="64"/>
      <c r="AU136" s="266" t="s">
        <v>37</v>
      </c>
      <c r="AV136" s="64"/>
      <c r="AW136" s="269" t="s">
        <v>38</v>
      </c>
      <c r="AX136" s="272"/>
      <c r="AY136" s="272">
        <f>informatieblad!$B$3</f>
        <v>0</v>
      </c>
      <c r="AZ136" s="272">
        <f>informatieblad!$B$3</f>
        <v>0</v>
      </c>
      <c r="BA136" s="272">
        <f>informatieblad!$B$4</f>
        <v>0</v>
      </c>
      <c r="BB136" s="264">
        <f>informatieblad!$B$4</f>
        <v>0</v>
      </c>
      <c r="BC136" s="83"/>
      <c r="BD136" t="s">
        <v>182</v>
      </c>
    </row>
    <row r="137" spans="1:57" ht="15" customHeight="1">
      <c r="A137" s="467"/>
      <c r="B137" s="102" t="str">
        <f>IF($C138&gt;0,IF(MAX(B136:C136)&lt;informatieblad!$Q$4,informatieblad!$P$3,IF(MAX(B136:C136)&gt;informatieblad!$R$4,informatieblad!$P$5,informatieblad!$P$4)),"")</f>
        <v/>
      </c>
      <c r="C137" s="102" t="str">
        <f>IF($C138&gt;0,IF(MAX(B136:C136)&lt;informatieblad!$Q$4,informatieblad!$P$3,IF(MAX(B136:C136)&gt;informatieblad!$R$4,informatieblad!$P$5,informatieblad!$P$4)),"")</f>
        <v/>
      </c>
      <c r="D137" s="504"/>
      <c r="E137" s="527"/>
      <c r="F137" s="505" t="str">
        <f>A136&amp;"-"&amp;informatieblad!$B$21&amp;"-"&amp;B136&amp;"-"&amp;C136&amp;"-"&amp;D136&amp;"-"&amp;E136&amp;"-"&amp;B137&amp;"-"&amp;C137&amp;"-"&amp;G138</f>
        <v>-RctV-------Options None</v>
      </c>
      <c r="G137" s="528"/>
      <c r="H137" s="528"/>
      <c r="I137" s="529"/>
      <c r="J137" s="83"/>
      <c r="K137" s="64"/>
      <c r="L137" s="64"/>
      <c r="M137" s="103">
        <f t="shared" ref="M137" si="518">A136</f>
        <v>0</v>
      </c>
      <c r="N137" s="104" t="s">
        <v>39</v>
      </c>
      <c r="O137" s="104" t="s">
        <v>39</v>
      </c>
      <c r="P137" s="104" t="s">
        <v>40</v>
      </c>
      <c r="Q137" s="104" t="s">
        <v>40</v>
      </c>
      <c r="R137" s="104" t="s">
        <v>40</v>
      </c>
      <c r="S137" s="105"/>
      <c r="T137" s="106" t="s">
        <v>27</v>
      </c>
      <c r="U137" s="106" t="s">
        <v>40</v>
      </c>
      <c r="V137" s="106" t="s">
        <v>41</v>
      </c>
      <c r="W137" s="104" t="s">
        <v>42</v>
      </c>
      <c r="X137" s="104" t="s">
        <v>43</v>
      </c>
      <c r="Y137" s="104"/>
      <c r="Z137" s="104" t="s">
        <v>44</v>
      </c>
      <c r="AA137" s="107"/>
      <c r="AB137" s="104" t="s">
        <v>45</v>
      </c>
      <c r="AC137" s="104" t="s">
        <v>42</v>
      </c>
      <c r="AD137" s="104" t="s">
        <v>43</v>
      </c>
      <c r="AE137" s="104" t="s">
        <v>46</v>
      </c>
      <c r="AF137" s="108"/>
      <c r="AG137" s="109"/>
      <c r="AH137" s="64"/>
      <c r="AI137" s="262" t="str">
        <f>informatieblad!$A$2</f>
        <v>FL20 loose</v>
      </c>
      <c r="AJ137" s="263"/>
      <c r="AK137" s="262" t="str">
        <f>informatieblad!$A$3</f>
        <v>FL30 loose</v>
      </c>
      <c r="AL137" s="105"/>
      <c r="AM137" s="263" t="str">
        <f>informatieblad!$A$4</f>
        <v>FL40 loose</v>
      </c>
      <c r="AN137" s="105"/>
      <c r="AO137" s="265"/>
      <c r="AP137" s="105"/>
      <c r="AQ137" s="64"/>
      <c r="AR137" s="267"/>
      <c r="AS137" s="64"/>
      <c r="AT137" s="83" t="str">
        <f>'UC mounting materials '!$B$10</f>
        <v>Rail 30x15</v>
      </c>
      <c r="AU137" s="327">
        <f t="shared" ref="AU137" si="519">IF(Z138&lt;1000,(Z138+100),0)*C138</f>
        <v>0</v>
      </c>
      <c r="AV137" s="64"/>
      <c r="AW137" s="265" t="s">
        <v>47</v>
      </c>
      <c r="AX137" s="106" t="s">
        <v>48</v>
      </c>
      <c r="AY137" s="83" t="s">
        <v>23</v>
      </c>
      <c r="AZ137" s="83" t="s">
        <v>23</v>
      </c>
      <c r="BA137" s="83" t="s">
        <v>23</v>
      </c>
      <c r="BB137" s="273" t="s">
        <v>23</v>
      </c>
      <c r="BC137" s="83"/>
      <c r="BD137" t="s">
        <v>40</v>
      </c>
      <c r="BE137" s="83" t="s">
        <v>41</v>
      </c>
    </row>
    <row r="138" spans="1:57" ht="15.75" customHeight="1" thickBot="1">
      <c r="A138" s="468"/>
      <c r="B138" s="371" t="s">
        <v>23</v>
      </c>
      <c r="C138" s="412"/>
      <c r="D138" s="94">
        <f>C138*O138</f>
        <v>0</v>
      </c>
      <c r="E138" s="422" t="s">
        <v>24</v>
      </c>
      <c r="F138" s="93"/>
      <c r="G138" s="451" t="s">
        <v>25</v>
      </c>
      <c r="H138" s="530"/>
      <c r="I138" s="531"/>
      <c r="J138" s="83"/>
      <c r="K138" s="64"/>
      <c r="L138" s="64"/>
      <c r="M138" s="111"/>
      <c r="N138" s="112">
        <f t="shared" ref="N138" si="520">(((2*(B136+C136))*D136)/1000000)+(((B136-10)*(C136-10))/1000000)</f>
        <v>1E-4</v>
      </c>
      <c r="O138" s="112">
        <f>((IF(N138&lt;=informatieblad!$I$12,informatieblad!$I$12,IF(N138&gt;=informatieblad!$I$12,N138))))</f>
        <v>0.5</v>
      </c>
      <c r="P138" s="112">
        <f t="shared" ref="P138" si="521">(((2*B136)+(2*C136))*D136)/1000000+(((B136-10)*(C136-10))/1000000)</f>
        <v>1E-4</v>
      </c>
      <c r="Q138" s="112">
        <f>((IF(P138&lt;=informatieblad!$H$12,informatieblad!$H$12,IF(P138&gt;=informatieblad!$H$12,P138))))</f>
        <v>1E-4</v>
      </c>
      <c r="R138" s="113">
        <f t="shared" ref="R138" si="522">(((Q138*X138)+(Q138*U138))*C138)+BD138</f>
        <v>5</v>
      </c>
      <c r="S138" s="114">
        <f t="shared" ref="S138" si="523">(((O138*W138)+(O138*V138))*C138)+(BE138)</f>
        <v>12</v>
      </c>
      <c r="T138" s="115" t="str">
        <f t="shared" ref="T138" si="524">G138</f>
        <v>Options None</v>
      </c>
      <c r="U138" s="116">
        <f>VLOOKUP(G138,informatieblad!$A$37:$D$41,2,FALSE)</f>
        <v>0</v>
      </c>
      <c r="V138" s="116">
        <f>VLOOKUP(G138,informatieblad!$A$37:$D$41,4,FALSE)</f>
        <v>0</v>
      </c>
      <c r="W138" s="117">
        <f t="shared" ref="W138" si="525">((IF(D136&lt;=900,AC138,IF(D136&gt;=900,AE138))))</f>
        <v>45.1248</v>
      </c>
      <c r="X138" s="118">
        <f t="shared" ref="X138" si="526">((IF(D136&lt;=900,AB138,IF(D136&gt;=900,AD138))))</f>
        <v>0</v>
      </c>
      <c r="Y138" s="119"/>
      <c r="Z138" s="119">
        <f t="shared" ref="Z138" si="527">(MAX(B136:C136))</f>
        <v>0</v>
      </c>
      <c r="AA138" s="119">
        <f>LOOKUP(Z138,informatieblad!$C$27:$C$32,informatieblad!$A$27:$A$32)</f>
        <v>0.5</v>
      </c>
      <c r="AB138" s="118">
        <f>VLOOKUP(AA138,informatieblad!$A$27:$M$32,6,FALSE)</f>
        <v>0</v>
      </c>
      <c r="AC138" s="118">
        <f>VLOOKUP(AA138,informatieblad!$A$27:$M$32,8,FALSE)</f>
        <v>45.1248</v>
      </c>
      <c r="AD138" s="118">
        <f>VLOOKUP(AA138,informatieblad!$A$27:$M$32,9,FALSE)</f>
        <v>0</v>
      </c>
      <c r="AE138" s="118">
        <f>VLOOKUP(AA138,informatieblad!$A$27:$M$32,11,FALSE)</f>
        <v>32.463200000000001</v>
      </c>
      <c r="AF138" s="120">
        <f>VLOOKUP(AA138,informatieblad!$A$27:$M$32,13,FALSE)</f>
        <v>4</v>
      </c>
      <c r="AG138" s="121">
        <f t="shared" ref="AG138" si="528">ROUND((AF138*P138),1)</f>
        <v>0</v>
      </c>
      <c r="AH138" s="64"/>
      <c r="AI138" s="111">
        <f t="shared" ref="AI138" si="529">(IF(B137=AI136,((2*B136)+(2*C136)),IF(B137=AI137,((2*B136)+(2*C136)),0)))*C138</f>
        <v>0</v>
      </c>
      <c r="AJ138" s="261">
        <f t="shared" ref="AJ138" si="530">(IF(C137=AI136,((2*B136)+(2*C136)),IF(C137=AI137,((2*B136)+(2*C136)),0)))*C138</f>
        <v>0</v>
      </c>
      <c r="AK138" s="111">
        <f t="shared" ref="AK138" si="531">(IF(B137=AK136,((2*B136)+(2*C136)),IF(B137=AK137,((2*B136)+(2*C136)),0)))*C138</f>
        <v>0</v>
      </c>
      <c r="AL138" s="260">
        <f t="shared" ref="AL138" si="532">(IF(C137=AK136,((2*B136)+(2*C136)),IF(C137=AK137,((2*B136)+(2*C136)),0)))*C138</f>
        <v>0</v>
      </c>
      <c r="AM138" s="261">
        <f t="shared" ref="AM138" si="533">(IF(B137=AM136,((2*B136)+(2*C136)),IF(B137=AM137,((2*B136)+(2*C136)),0)))*C138</f>
        <v>0</v>
      </c>
      <c r="AN138" s="260">
        <f t="shared" ref="AN138" si="534">(IF(C137=AM136,((2*B136)+(2*C136)),IF(C137=AM137,((2*B136)+(2*C136)),0)))*C138</f>
        <v>0</v>
      </c>
      <c r="AO138" s="111">
        <f t="shared" ref="AO138" si="535">(IF(B137=AO136,((2*B136)+(2*C136)),0))*C138</f>
        <v>0</v>
      </c>
      <c r="AP138" s="260">
        <f t="shared" ref="AP138" si="536">(IF(C137=AO136,((2*B136)+(2*C136)),0))*C138</f>
        <v>0</v>
      </c>
      <c r="AQ138" s="64"/>
      <c r="AR138" s="268">
        <f t="shared" ref="AR138" si="537">D136*C138</f>
        <v>0</v>
      </c>
      <c r="AS138" s="64"/>
      <c r="AT138" s="83" t="str">
        <f>'UC mounting materials '!$B$11</f>
        <v>Rail 41x41</v>
      </c>
      <c r="AU138" s="268">
        <f t="shared" ref="AU138" si="538">IF(Z138&gt;999,(Z138+100),0)*C138</f>
        <v>0</v>
      </c>
      <c r="AV138" s="64"/>
      <c r="AW138" s="111" t="str">
        <f>IF(B137=informatieblad!$A$6,informatieblad!$B$6,IF(B137=informatieblad!$A$7,informatieblad!$B$7,IF(B137=informatieblad!$A$8,informatieblad!$B$8,IF(B137=informatieblad!$A$2,informatieblad!$B$2,IF(B137=informatieblad!$A$3,informatieblad!$B$3,IF(B137=informatieblad!$A$4,informatieblad!$B$4,IF(B137=informatieblad!$A$5,informatieblad!$B$5,"")))))))</f>
        <v/>
      </c>
      <c r="AX138" s="275" t="str">
        <f>IF(C137=informatieblad!$A$6,informatieblad!$B$6,IF(C137=informatieblad!$A$7,informatieblad!$B$7,IF(C137=informatieblad!$A$8,informatieblad!$B$8,IF(C137=informatieblad!$A$2,informatieblad!$B$2,IF(C137=informatieblad!$A$3,informatieblad!$B$3,IF(C137=informatieblad!$A$4,informatieblad!$B$4,IF(C137=informatieblad!$A$5,informatieblad!$B$5,"")))))))</f>
        <v/>
      </c>
      <c r="AY138" s="276">
        <f t="shared" ref="AY138" si="539">IF(AW138=AY136,(4*C138),0)</f>
        <v>0</v>
      </c>
      <c r="AZ138" s="276">
        <f t="shared" ref="AZ138" si="540">IF(AX138=AY136,(4*C138),0)</f>
        <v>0</v>
      </c>
      <c r="BA138" s="276">
        <f t="shared" ref="BA138" si="541">IF(AW138=BA136,(4*C138),0)</f>
        <v>0</v>
      </c>
      <c r="BB138" s="274">
        <f t="shared" ref="BB138" si="542">IF(AX138=BA136,(4*C138),0)</f>
        <v>0</v>
      </c>
      <c r="BC138" s="83"/>
      <c r="BD138" s="374">
        <v>5</v>
      </c>
      <c r="BE138">
        <f t="shared" ref="BE138" si="543">BD138*2.4</f>
        <v>12</v>
      </c>
    </row>
    <row r="140" spans="1:57" ht="15.75" customHeight="1"/>
    <row r="141" spans="1:57" ht="15" customHeight="1"/>
  </sheetData>
  <sheetProtection algorithmName="SHA-512" hashValue="Y+dqoRkGg7scm0eFAsFRxDGjYK7PWY7T5a2h9WKGyN0QBHwujmIa2a3hPWWWFcsLGhbGxZw8Bjjl8O1onFCwsA==" saltValue="jXoo+7lx4HiGx4h1MqGR0Q==" spinCount="100000" sheet="1" objects="1" scenarios="1"/>
  <mergeCells count="123">
    <mergeCell ref="A136:A138"/>
    <mergeCell ref="A128:A130"/>
    <mergeCell ref="A132:A134"/>
    <mergeCell ref="A120:A122"/>
    <mergeCell ref="A124:A126"/>
    <mergeCell ref="G18:I18"/>
    <mergeCell ref="G22:I22"/>
    <mergeCell ref="D17:E17"/>
    <mergeCell ref="D21:E21"/>
    <mergeCell ref="F21:I21"/>
    <mergeCell ref="A88:A90"/>
    <mergeCell ref="A92:A94"/>
    <mergeCell ref="A80:A82"/>
    <mergeCell ref="A84:A86"/>
    <mergeCell ref="A72:A74"/>
    <mergeCell ref="A76:A78"/>
    <mergeCell ref="A112:A114"/>
    <mergeCell ref="A116:A118"/>
    <mergeCell ref="A104:A106"/>
    <mergeCell ref="A108:A110"/>
    <mergeCell ref="A96:A98"/>
    <mergeCell ref="A100:A102"/>
    <mergeCell ref="D25:E25"/>
    <mergeCell ref="F25:I25"/>
    <mergeCell ref="G26:I26"/>
    <mergeCell ref="A16:A18"/>
    <mergeCell ref="A20:A22"/>
    <mergeCell ref="A64:A66"/>
    <mergeCell ref="A68:A70"/>
    <mergeCell ref="A56:A58"/>
    <mergeCell ref="A60:A62"/>
    <mergeCell ref="A44:A46"/>
    <mergeCell ref="A48:A50"/>
    <mergeCell ref="A52:A54"/>
    <mergeCell ref="A24:A26"/>
    <mergeCell ref="A28:A30"/>
    <mergeCell ref="A32:A34"/>
    <mergeCell ref="A36:A38"/>
    <mergeCell ref="A40:A42"/>
    <mergeCell ref="D41:E41"/>
    <mergeCell ref="F41:I41"/>
    <mergeCell ref="G42:I42"/>
    <mergeCell ref="G34:I34"/>
    <mergeCell ref="D37:E37"/>
    <mergeCell ref="F37:I37"/>
    <mergeCell ref="G38:I38"/>
    <mergeCell ref="D29:E29"/>
    <mergeCell ref="F29:I29"/>
    <mergeCell ref="G30:I30"/>
    <mergeCell ref="D33:E33"/>
    <mergeCell ref="F33:I33"/>
    <mergeCell ref="D57:E57"/>
    <mergeCell ref="F57:I57"/>
    <mergeCell ref="G58:I58"/>
    <mergeCell ref="G50:I50"/>
    <mergeCell ref="D53:E53"/>
    <mergeCell ref="F53:I53"/>
    <mergeCell ref="G54:I54"/>
    <mergeCell ref="D45:E45"/>
    <mergeCell ref="F45:I45"/>
    <mergeCell ref="G46:I46"/>
    <mergeCell ref="D49:E49"/>
    <mergeCell ref="F49:I49"/>
    <mergeCell ref="D73:E73"/>
    <mergeCell ref="F73:I73"/>
    <mergeCell ref="G74:I74"/>
    <mergeCell ref="G66:I66"/>
    <mergeCell ref="D69:E69"/>
    <mergeCell ref="F69:I69"/>
    <mergeCell ref="G70:I70"/>
    <mergeCell ref="D61:E61"/>
    <mergeCell ref="F61:I61"/>
    <mergeCell ref="G62:I62"/>
    <mergeCell ref="D65:E65"/>
    <mergeCell ref="F65:I65"/>
    <mergeCell ref="D89:E89"/>
    <mergeCell ref="F89:I89"/>
    <mergeCell ref="G90:I90"/>
    <mergeCell ref="G82:I82"/>
    <mergeCell ref="D85:E85"/>
    <mergeCell ref="F85:I85"/>
    <mergeCell ref="G86:I86"/>
    <mergeCell ref="D77:E77"/>
    <mergeCell ref="F77:I77"/>
    <mergeCell ref="G78:I78"/>
    <mergeCell ref="D81:E81"/>
    <mergeCell ref="F81:I81"/>
    <mergeCell ref="D105:E105"/>
    <mergeCell ref="F105:I105"/>
    <mergeCell ref="G106:I106"/>
    <mergeCell ref="G98:I98"/>
    <mergeCell ref="D101:E101"/>
    <mergeCell ref="F101:I101"/>
    <mergeCell ref="G102:I102"/>
    <mergeCell ref="D93:E93"/>
    <mergeCell ref="F93:I93"/>
    <mergeCell ref="G94:I94"/>
    <mergeCell ref="D97:E97"/>
    <mergeCell ref="F97:I97"/>
    <mergeCell ref="D121:E121"/>
    <mergeCell ref="F121:I121"/>
    <mergeCell ref="G122:I122"/>
    <mergeCell ref="G114:I114"/>
    <mergeCell ref="D117:E117"/>
    <mergeCell ref="F117:I117"/>
    <mergeCell ref="G118:I118"/>
    <mergeCell ref="D109:E109"/>
    <mergeCell ref="F109:I109"/>
    <mergeCell ref="G110:I110"/>
    <mergeCell ref="D113:E113"/>
    <mergeCell ref="F113:I113"/>
    <mergeCell ref="D137:E137"/>
    <mergeCell ref="F137:I137"/>
    <mergeCell ref="G138:I138"/>
    <mergeCell ref="G130:I130"/>
    <mergeCell ref="D133:E133"/>
    <mergeCell ref="F133:I133"/>
    <mergeCell ref="G134:I134"/>
    <mergeCell ref="D125:E125"/>
    <mergeCell ref="F125:I125"/>
    <mergeCell ref="G126:I126"/>
    <mergeCell ref="D129:E129"/>
    <mergeCell ref="F129:I129"/>
  </mergeCells>
  <phoneticPr fontId="3" type="noConversion"/>
  <conditionalFormatting sqref="B20 B24 B28 B32 B36 B40 B44 B48 B52 B56 B60 B64 B68 B72 B76 B80 B84 B88 B92 B96 B100 B104 B108 B112 B116 B120 B124 B128 B132 B136">
    <cfRule type="cellIs" dxfId="37" priority="35" operator="greaterThan">
      <formula>300</formula>
    </cfRule>
  </conditionalFormatting>
  <conditionalFormatting sqref="D16">
    <cfRule type="cellIs" dxfId="36" priority="64" operator="between">
      <formula>1</formula>
      <formula>99</formula>
    </cfRule>
    <cfRule type="cellIs" dxfId="35" priority="63" operator="greaterThan">
      <formula>1500</formula>
    </cfRule>
  </conditionalFormatting>
  <conditionalFormatting sqref="D20:E20 D24:E24 D28:E28 D32:E32 D36:E36 D40:E40 D44:E44 D48:E48 D52:E52 D56:E56 D60:E60 D64:E64 D68:E68 D72:E72 D76:E76 D80:E80 D84:E84 D88:E88 D92:E92 D96:E96 D100:E100 D104:E104 D108:E108 D112:E112 D116:E116 D120:E120 D124:E124 D128:E128 D132:E132 D136:E136">
    <cfRule type="cellIs" dxfId="34" priority="62" operator="between">
      <formula>1</formula>
      <formula>99</formula>
    </cfRule>
    <cfRule type="cellIs" dxfId="33" priority="61" operator="greaterThan">
      <formula>1500</formula>
    </cfRule>
  </conditionalFormatting>
  <conditionalFormatting sqref="H16">
    <cfRule type="cellIs" dxfId="32" priority="32" operator="greaterThan">
      <formula>0.09</formula>
    </cfRule>
  </conditionalFormatting>
  <conditionalFormatting sqref="H20">
    <cfRule type="cellIs" dxfId="31" priority="33" operator="greaterThan">
      <formula>0.09</formula>
    </cfRule>
  </conditionalFormatting>
  <conditionalFormatting sqref="H24">
    <cfRule type="cellIs" dxfId="30" priority="30" operator="greaterThan">
      <formula>0.09</formula>
    </cfRule>
  </conditionalFormatting>
  <conditionalFormatting sqref="H28">
    <cfRule type="cellIs" dxfId="29" priority="29" operator="greaterThan">
      <formula>0.09</formula>
    </cfRule>
  </conditionalFormatting>
  <conditionalFormatting sqref="H32">
    <cfRule type="cellIs" dxfId="28" priority="28" operator="greaterThan">
      <formula>0.09</formula>
    </cfRule>
  </conditionalFormatting>
  <conditionalFormatting sqref="H36">
    <cfRule type="cellIs" dxfId="27" priority="27" operator="greaterThan">
      <formula>0.09</formula>
    </cfRule>
  </conditionalFormatting>
  <conditionalFormatting sqref="H40">
    <cfRule type="cellIs" dxfId="26" priority="26" operator="greaterThan">
      <formula>0.09</formula>
    </cfRule>
  </conditionalFormatting>
  <conditionalFormatting sqref="H44">
    <cfRule type="cellIs" dxfId="25" priority="25" operator="greaterThan">
      <formula>0.09</formula>
    </cfRule>
  </conditionalFormatting>
  <conditionalFormatting sqref="H48">
    <cfRule type="cellIs" dxfId="24" priority="24" operator="greaterThan">
      <formula>0.09</formula>
    </cfRule>
  </conditionalFormatting>
  <conditionalFormatting sqref="H52">
    <cfRule type="cellIs" dxfId="23" priority="23" operator="greaterThan">
      <formula>0.09</formula>
    </cfRule>
  </conditionalFormatting>
  <conditionalFormatting sqref="H56">
    <cfRule type="cellIs" dxfId="22" priority="22" operator="greaterThan">
      <formula>0.09</formula>
    </cfRule>
  </conditionalFormatting>
  <conditionalFormatting sqref="H60">
    <cfRule type="cellIs" dxfId="21" priority="21" operator="greaterThan">
      <formula>0.09</formula>
    </cfRule>
  </conditionalFormatting>
  <conditionalFormatting sqref="H64">
    <cfRule type="cellIs" dxfId="20" priority="20" operator="greaterThan">
      <formula>0.09</formula>
    </cfRule>
  </conditionalFormatting>
  <conditionalFormatting sqref="H68">
    <cfRule type="cellIs" dxfId="19" priority="19" operator="greaterThan">
      <formula>0.09</formula>
    </cfRule>
  </conditionalFormatting>
  <conditionalFormatting sqref="H72">
    <cfRule type="cellIs" dxfId="18" priority="18" operator="greaterThan">
      <formula>0.09</formula>
    </cfRule>
  </conditionalFormatting>
  <conditionalFormatting sqref="H76">
    <cfRule type="cellIs" dxfId="17" priority="17" operator="greaterThan">
      <formula>0.09</formula>
    </cfRule>
  </conditionalFormatting>
  <conditionalFormatting sqref="H80">
    <cfRule type="cellIs" dxfId="16" priority="16" operator="greaterThan">
      <formula>0.09</formula>
    </cfRule>
  </conditionalFormatting>
  <conditionalFormatting sqref="H84">
    <cfRule type="cellIs" dxfId="15" priority="15" operator="greaterThan">
      <formula>0.09</formula>
    </cfRule>
  </conditionalFormatting>
  <conditionalFormatting sqref="H88">
    <cfRule type="cellIs" dxfId="14" priority="14" operator="greaterThan">
      <formula>0.09</formula>
    </cfRule>
  </conditionalFormatting>
  <conditionalFormatting sqref="H92">
    <cfRule type="cellIs" dxfId="13" priority="13" operator="greaterThan">
      <formula>0.09</formula>
    </cfRule>
  </conditionalFormatting>
  <conditionalFormatting sqref="H96">
    <cfRule type="cellIs" dxfId="12" priority="12" operator="greaterThan">
      <formula>0.09</formula>
    </cfRule>
  </conditionalFormatting>
  <conditionalFormatting sqref="H100">
    <cfRule type="cellIs" dxfId="11" priority="11" operator="greaterThan">
      <formula>0.09</formula>
    </cfRule>
  </conditionalFormatting>
  <conditionalFormatting sqref="H104">
    <cfRule type="cellIs" dxfId="10" priority="10" operator="greaterThan">
      <formula>0.09</formula>
    </cfRule>
  </conditionalFormatting>
  <conditionalFormatting sqref="H108">
    <cfRule type="cellIs" dxfId="9" priority="8" operator="greaterThan">
      <formula>0.09</formula>
    </cfRule>
  </conditionalFormatting>
  <conditionalFormatting sqref="H112">
    <cfRule type="cellIs" dxfId="8" priority="7" operator="greaterThan">
      <formula>0.09</formula>
    </cfRule>
  </conditionalFormatting>
  <conditionalFormatting sqref="H116">
    <cfRule type="cellIs" dxfId="7" priority="6" operator="greaterThan">
      <formula>0.09</formula>
    </cfRule>
  </conditionalFormatting>
  <conditionalFormatting sqref="H120">
    <cfRule type="cellIs" dxfId="6" priority="5" operator="greaterThan">
      <formula>0.09</formula>
    </cfRule>
  </conditionalFormatting>
  <conditionalFormatting sqref="H124">
    <cfRule type="cellIs" dxfId="5" priority="4" operator="greaterThan">
      <formula>0.09</formula>
    </cfRule>
  </conditionalFormatting>
  <conditionalFormatting sqref="H128">
    <cfRule type="cellIs" dxfId="4" priority="3" operator="greaterThan">
      <formula>0.09</formula>
    </cfRule>
  </conditionalFormatting>
  <conditionalFormatting sqref="H132">
    <cfRule type="cellIs" dxfId="3" priority="2" operator="greaterThan">
      <formula>0.09</formula>
    </cfRule>
  </conditionalFormatting>
  <conditionalFormatting sqref="H136">
    <cfRule type="cellIs" dxfId="2" priority="1" operator="greaterThan">
      <formula>0.09</formula>
    </cfRule>
  </conditionalFormatting>
  <dataValidations disablePrompts="1" count="2">
    <dataValidation type="list" allowBlank="1" showInputMessage="1" showErrorMessage="1" sqref="G18 G22:I22 G26:I26 G30:I30 G38:I38 G34:I34 G42:I42 G46:I46 G50:I50 G54:I54 G62:I62 G58:I58 G66:I66 G70:I70 G74:I74 G78:I78 G86:I86 G82:I82 G90:I90 G94:I94 G98:I98 G102:I102 G110:I110 G106:I106 G114:I114 G118:I118 G122:I122 G130:I130 G126:I126 G134:I134 G138:I138" xr:uid="{1157D93E-D997-42EE-B12B-1897865B1E06}">
      <formula1>Options_Ducts</formula1>
    </dataValidation>
    <dataValidation type="list" allowBlank="1" showInputMessage="1" showErrorMessage="1" sqref="B17 B21:C21 B25:C25 B29:C29 B37:C37 B33:C33 B41:C41 B45:C45 B49:C49 B53:C53 B61:C61 B57:C57 B65:C65 B69:C69 B73:C73 B77:C77 B85:C85 B81:C81 B89:C89 B93:C93 B97:C97 B101:C101 B109:C109 B105:C105 B113:C113 B117:C117 B121:C121 B129:C129 B125:C125 B133:C133 B137:C137" xr:uid="{89D90514-258B-47EB-A078-C0373129F84E}">
      <formula1>Options_flanges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9401-C5A2-4F81-BB56-624FC7FCDF92}">
  <sheetPr>
    <tabColor theme="4" tint="0.79998168889431442"/>
  </sheetPr>
  <dimension ref="A1:AX165"/>
  <sheetViews>
    <sheetView showGridLines="0" view="pageBreakPreview" zoomScale="115" zoomScaleNormal="100" zoomScaleSheetLayoutView="115" workbookViewId="0">
      <pane xSplit="11" ySplit="14" topLeftCell="L15" activePane="bottomRight" state="frozen"/>
      <selection pane="bottomRight" activeCell="A16" sqref="A16:A18"/>
      <selection pane="bottomLeft" activeCell="A15" sqref="A15"/>
      <selection pane="topRight" activeCell="L1" sqref="L1"/>
    </sheetView>
  </sheetViews>
  <sheetFormatPr defaultRowHeight="15"/>
  <cols>
    <col min="1" max="1" width="7.7109375" customWidth="1"/>
    <col min="2" max="2" width="9.85546875" bestFit="1" customWidth="1"/>
    <col min="3" max="8" width="8.7109375" customWidth="1"/>
    <col min="9" max="10" width="6.7109375" customWidth="1"/>
    <col min="11" max="11" width="11" bestFit="1" customWidth="1"/>
    <col min="12" max="12" width="44" customWidth="1"/>
    <col min="13" max="14" width="10.5703125" hidden="1" customWidth="1"/>
    <col min="15" max="15" width="5.42578125" hidden="1" customWidth="1"/>
    <col min="16" max="16" width="16.5703125" hidden="1" customWidth="1"/>
    <col min="17" max="17" width="21" hidden="1" customWidth="1"/>
    <col min="18" max="18" width="10.42578125" hidden="1" customWidth="1"/>
    <col min="19" max="19" width="21" hidden="1" customWidth="1"/>
    <col min="20" max="20" width="24.85546875" hidden="1" customWidth="1"/>
    <col min="21" max="21" width="20.28515625" hidden="1" customWidth="1"/>
    <col min="22" max="22" width="16.42578125" hidden="1" customWidth="1"/>
    <col min="23" max="23" width="10.85546875" hidden="1" customWidth="1"/>
    <col min="24" max="24" width="11.28515625" hidden="1" customWidth="1"/>
    <col min="25" max="25" width="21" hidden="1" customWidth="1"/>
    <col min="26" max="26" width="14.85546875" hidden="1" customWidth="1"/>
    <col min="27" max="27" width="21" hidden="1" customWidth="1"/>
    <col min="28" max="28" width="24.85546875" hidden="1" customWidth="1"/>
    <col min="29" max="29" width="30.28515625" hidden="1" customWidth="1"/>
    <col min="30" max="30" width="24" hidden="1" customWidth="1"/>
    <col min="31" max="31" width="23.7109375" hidden="1" customWidth="1"/>
    <col min="32" max="32" width="19.140625" hidden="1" customWidth="1"/>
    <col min="33" max="34" width="12.85546875" hidden="1" customWidth="1"/>
    <col min="35" max="35" width="9.42578125" hidden="1" customWidth="1"/>
    <col min="36" max="36" width="13.140625" hidden="1" customWidth="1"/>
    <col min="37" max="39" width="14.28515625" hidden="1" customWidth="1"/>
    <col min="40" max="40" width="9.42578125" hidden="1" customWidth="1"/>
    <col min="41" max="41" width="12.5703125" hidden="1" customWidth="1"/>
    <col min="42" max="42" width="13.28515625" hidden="1" customWidth="1"/>
    <col min="43" max="43" width="7.7109375" hidden="1" customWidth="1"/>
    <col min="44" max="44" width="14.28515625" hidden="1" customWidth="1"/>
    <col min="45" max="45" width="9.85546875" hidden="1" customWidth="1"/>
    <col min="46" max="46" width="12.7109375" hidden="1" customWidth="1"/>
    <col min="47" max="47" width="14.28515625" hidden="1" customWidth="1"/>
    <col min="48" max="48" width="11.85546875" hidden="1" customWidth="1"/>
    <col min="49" max="49" width="9.85546875" hidden="1" customWidth="1"/>
  </cols>
  <sheetData>
    <row r="1" spans="1:46">
      <c r="A1" s="398"/>
      <c r="B1" s="399"/>
      <c r="C1" s="399"/>
      <c r="D1" s="399"/>
      <c r="E1" s="399"/>
      <c r="F1" s="399"/>
      <c r="G1" s="399"/>
      <c r="H1" s="399"/>
      <c r="I1" s="399"/>
      <c r="J1" s="399"/>
      <c r="K1" s="400"/>
    </row>
    <row r="2" spans="1:46">
      <c r="A2" s="401"/>
      <c r="K2" s="402"/>
    </row>
    <row r="3" spans="1:46">
      <c r="A3" s="401"/>
      <c r="K3" s="402"/>
    </row>
    <row r="4" spans="1:46">
      <c r="A4" s="401"/>
      <c r="K4" s="435" t="str">
        <f>informatieblad!D22</f>
        <v>Kattenruggen  (RctK)</v>
      </c>
    </row>
    <row r="5" spans="1:46">
      <c r="A5" s="401"/>
      <c r="I5" s="415"/>
      <c r="K5" s="402"/>
    </row>
    <row r="6" spans="1:46">
      <c r="A6" s="401"/>
      <c r="K6" s="402"/>
    </row>
    <row r="7" spans="1:46">
      <c r="A7" s="401"/>
      <c r="K7" s="402"/>
    </row>
    <row r="8" spans="1:46">
      <c r="A8" s="401"/>
      <c r="K8" s="402"/>
    </row>
    <row r="9" spans="1:46">
      <c r="A9" s="401"/>
      <c r="K9" s="402"/>
    </row>
    <row r="10" spans="1:46">
      <c r="A10" s="401"/>
      <c r="I10" s="164" t="s">
        <v>114</v>
      </c>
      <c r="J10" s="64"/>
      <c r="K10" s="181">
        <v>30</v>
      </c>
    </row>
    <row r="11" spans="1:46">
      <c r="A11" s="401"/>
      <c r="I11" s="164" t="s">
        <v>115</v>
      </c>
      <c r="J11" s="64"/>
      <c r="K11" s="181">
        <v>50</v>
      </c>
    </row>
    <row r="12" spans="1:46">
      <c r="A12" s="401"/>
      <c r="K12" s="402"/>
    </row>
    <row r="13" spans="1:46">
      <c r="A13" s="401"/>
      <c r="K13" s="402"/>
      <c r="M13" t="e" vm="1">
        <v>#VALUE!</v>
      </c>
    </row>
    <row r="14" spans="1:46" ht="21" customHeight="1" thickBot="1">
      <c r="A14" s="403"/>
      <c r="B14" s="404"/>
      <c r="C14" s="404"/>
      <c r="D14" s="404"/>
      <c r="E14" s="404"/>
      <c r="F14" s="404"/>
      <c r="G14" s="404"/>
      <c r="H14" s="404"/>
      <c r="I14" s="404"/>
      <c r="J14" s="404"/>
      <c r="K14" s="405"/>
    </row>
    <row r="15" spans="1:46" s="64" customFormat="1" ht="15.75" thickBot="1">
      <c r="A15" s="78" t="s">
        <v>14</v>
      </c>
      <c r="B15" s="79" t="s">
        <v>15</v>
      </c>
      <c r="C15" s="79" t="s">
        <v>16</v>
      </c>
      <c r="D15" s="79" t="s">
        <v>101</v>
      </c>
      <c r="E15" s="79" t="s">
        <v>183</v>
      </c>
      <c r="F15" s="79" t="s">
        <v>184</v>
      </c>
      <c r="G15" s="79" t="s">
        <v>185</v>
      </c>
      <c r="H15" s="79" t="s">
        <v>186</v>
      </c>
      <c r="I15" s="79" t="s">
        <v>117</v>
      </c>
      <c r="J15" s="79" t="s">
        <v>118</v>
      </c>
      <c r="K15" s="125" t="s">
        <v>187</v>
      </c>
      <c r="L15"/>
    </row>
    <row r="16" spans="1:46" s="64" customFormat="1" thickBot="1">
      <c r="A16" s="445"/>
      <c r="B16" s="167" t="str">
        <f>IF($C18&gt;0,$B26-5,"")</f>
        <v/>
      </c>
      <c r="C16" s="167" t="str">
        <f>IF($C18&gt;0,$C26-5,"")</f>
        <v/>
      </c>
      <c r="D16" s="96"/>
      <c r="E16" s="96" t="str">
        <f>IF($C18&gt;0,(B16-D16)/2,"")</f>
        <v/>
      </c>
      <c r="F16" s="167" t="str">
        <f>IF($C18&gt;0,B16-D16-E16,"")</f>
        <v/>
      </c>
      <c r="G16" s="96">
        <v>0</v>
      </c>
      <c r="H16" s="167" t="str">
        <f>IF($C18&gt;0,C16-D16-G16,"")</f>
        <v/>
      </c>
      <c r="I16" s="300" t="str">
        <f>IF($C18&gt;0,$K$10,"")</f>
        <v/>
      </c>
      <c r="J16" s="300" t="str">
        <f>IF($C18&gt;0,$K$11,"")</f>
        <v/>
      </c>
      <c r="K16" s="178"/>
      <c r="L16" s="345" t="s">
        <v>20</v>
      </c>
      <c r="M16" s="375"/>
      <c r="N16" s="375"/>
      <c r="O16" s="97" t="s">
        <v>14</v>
      </c>
      <c r="P16" s="98" t="s">
        <v>27</v>
      </c>
      <c r="Q16" s="98" t="s">
        <v>28</v>
      </c>
      <c r="R16" s="98" t="s">
        <v>27</v>
      </c>
      <c r="S16" s="98" t="s">
        <v>28</v>
      </c>
      <c r="T16" s="98" t="s">
        <v>29</v>
      </c>
      <c r="U16" s="66" t="s">
        <v>30</v>
      </c>
      <c r="V16" s="376" t="s">
        <v>31</v>
      </c>
      <c r="W16" s="153"/>
      <c r="X16" s="377"/>
      <c r="AB16" s="382" t="s">
        <v>83</v>
      </c>
      <c r="AC16" s="98" t="s">
        <v>84</v>
      </c>
      <c r="AD16" s="98" t="s">
        <v>85</v>
      </c>
      <c r="AE16" s="100" t="s">
        <v>86</v>
      </c>
      <c r="AF16" s="100" t="s">
        <v>34</v>
      </c>
      <c r="AG16" s="98" t="s">
        <v>32</v>
      </c>
      <c r="AH16" s="98" t="s">
        <v>32</v>
      </c>
      <c r="AI16" s="98" t="s">
        <v>35</v>
      </c>
      <c r="AJ16" s="101" t="s">
        <v>36</v>
      </c>
      <c r="AP16" s="266" t="s">
        <v>37</v>
      </c>
      <c r="AR16" s="269" t="s">
        <v>38</v>
      </c>
      <c r="AS16" s="272">
        <f>informatieblad!$B$3</f>
        <v>0</v>
      </c>
      <c r="AT16" s="264">
        <f>informatieblad!$B$4</f>
        <v>0</v>
      </c>
    </row>
    <row r="17" spans="1:50" s="64" customFormat="1" ht="14.25">
      <c r="A17" s="481"/>
      <c r="B17" s="482" t="str">
        <f>informatieblad!A5</f>
        <v>none</v>
      </c>
      <c r="C17" s="483"/>
      <c r="D17" s="397" t="str">
        <f>A16&amp;"-"&amp;informatieblad!$B$22&amp;"-"&amp;B26&amp;"-"&amp;C26&amp;"-"&amp;D26&amp;"-"&amp;K16&amp;"-"&amp;K21&amp;"-"&amp;D16&amp;"-"&amp;D21&amp;"-"&amp;B17&amp;"-"&amp;G18</f>
        <v>-RctK--------none-Options None</v>
      </c>
      <c r="E17" s="174"/>
      <c r="F17" s="174"/>
      <c r="G17" s="174"/>
      <c r="H17" s="469" t="s">
        <v>82</v>
      </c>
      <c r="I17" s="470"/>
      <c r="J17" s="470"/>
      <c r="K17" s="191" t="str">
        <f>(IF($C18&gt;0,(IF(MAX((MAX(B16,C16)-D16)/2,(D16-MAX(B16,C16)))*1.732&gt;270,MAX((MAX(B16,C16)-D16)/2,(#REF!-MAX(B16,C16)))*1.732,270)),""))</f>
        <v/>
      </c>
      <c r="L17" s="83"/>
      <c r="M17" s="83"/>
      <c r="N17" s="83"/>
      <c r="O17" s="103">
        <f>A16</f>
        <v>0</v>
      </c>
      <c r="P17" s="104" t="s">
        <v>39</v>
      </c>
      <c r="Q17" s="104" t="s">
        <v>39</v>
      </c>
      <c r="R17" s="104" t="s">
        <v>40</v>
      </c>
      <c r="S17" s="104" t="s">
        <v>40</v>
      </c>
      <c r="T17" s="104" t="s">
        <v>40</v>
      </c>
      <c r="U17" s="105"/>
      <c r="V17" s="378" t="s">
        <v>27</v>
      </c>
      <c r="W17" s="155" t="s">
        <v>40</v>
      </c>
      <c r="X17" s="379" t="s">
        <v>41</v>
      </c>
      <c r="AB17" s="383"/>
      <c r="AD17" s="136" t="s">
        <v>15</v>
      </c>
      <c r="AE17" s="136" t="s">
        <v>16</v>
      </c>
      <c r="AF17" s="107"/>
      <c r="AG17" s="104" t="s">
        <v>40</v>
      </c>
      <c r="AH17" s="104" t="s">
        <v>41</v>
      </c>
      <c r="AI17" s="108"/>
      <c r="AJ17" s="109"/>
      <c r="AO17" s="83" t="str">
        <f>'UC mounting materials '!$B$10</f>
        <v>Rail 30x15</v>
      </c>
      <c r="AP17" s="327">
        <f>IF(AB18&lt;1000,(AB18+100),0)*C18</f>
        <v>0</v>
      </c>
      <c r="AR17" s="265" t="s">
        <v>47</v>
      </c>
      <c r="AS17" s="83" t="s">
        <v>23</v>
      </c>
      <c r="AT17" s="273" t="s">
        <v>23</v>
      </c>
    </row>
    <row r="18" spans="1:50" s="64" customFormat="1" ht="15.75" thickBot="1">
      <c r="A18" s="476"/>
      <c r="B18" s="186" t="s">
        <v>23</v>
      </c>
      <c r="C18" s="110"/>
      <c r="D18" s="139"/>
      <c r="E18" s="94" t="str">
        <f>IF($C18&gt;0,C18*Q18,"")</f>
        <v/>
      </c>
      <c r="F18" s="141" t="s">
        <v>24</v>
      </c>
      <c r="G18" s="451" t="s">
        <v>25</v>
      </c>
      <c r="H18" s="484"/>
      <c r="I18" s="484"/>
      <c r="J18" s="484"/>
      <c r="K18" s="485"/>
      <c r="L18" s="176"/>
      <c r="M18" s="176"/>
      <c r="N18" s="176"/>
      <c r="O18" s="111"/>
      <c r="P18" s="112" t="str">
        <f>IF($C18&gt;0,((2*(B16+C16))*AC18)/1000000,"")</f>
        <v/>
      </c>
      <c r="Q18" s="158" t="str">
        <f>((IF(P18&lt;=informatieblad!$I$15,informatieblad!$I$15,IF(P18&gt;=informatieblad!$I$15,P18))))</f>
        <v/>
      </c>
      <c r="R18" s="112" t="str">
        <f>IF($C18&gt;0,((2*(B16+C16))*AC18)/1000000,"")</f>
        <v/>
      </c>
      <c r="S18" s="112">
        <f>((IF(R18&lt;=informatieblad!$H$15,informatieblad!$H$15,IF(R18&gt;=informatieblad!$H$15,R18))))</f>
        <v>0</v>
      </c>
      <c r="T18" s="113" t="str">
        <f>IF($C18&gt;0,((S18*AG18)+(S18*W18))*C18,"")</f>
        <v/>
      </c>
      <c r="U18" s="114" t="str">
        <f>IF($C18&gt;0,((Q18*AH18)+(Q18*X18))*C18,"")</f>
        <v/>
      </c>
      <c r="V18" s="380" t="str">
        <f>G18</f>
        <v>Options None</v>
      </c>
      <c r="W18" s="115" t="str">
        <f>IF($C18&gt;0,VLOOKUP(G18,informatieblad!$A$37:$D$41,2,FALSE),"")</f>
        <v/>
      </c>
      <c r="X18" s="381">
        <f>VLOOKUP(G18,informatieblad!$A$37:$D$41,4,FALSE)</f>
        <v>0</v>
      </c>
      <c r="AB18" s="384">
        <f>(MAX(B16:C16))</f>
        <v>0</v>
      </c>
      <c r="AC18" s="161">
        <f>(MAX(AE18,AD18))+K10</f>
        <v>30</v>
      </c>
      <c r="AD18" s="162">
        <f>ROUND((SQRT((((MAX(E16,F16))^2)+(K16^2)))),0)</f>
        <v>0</v>
      </c>
      <c r="AE18" s="163">
        <f>ROUND((SQRT((((MAX(G16,H16))^2)+(K16^2)))),0)</f>
        <v>0</v>
      </c>
      <c r="AF18" s="119">
        <f>LOOKUP(AB18,informatieblad!$C$27:$C$32,informatieblad!$A$27:$A$32)</f>
        <v>0.5</v>
      </c>
      <c r="AG18" s="118">
        <f>VLOOKUP(AF18,informatieblad!$A$27:$M$32,6,FALSE)</f>
        <v>0</v>
      </c>
      <c r="AH18" s="118">
        <f>VLOOKUP(AF18,informatieblad!$A$27:$M$32,8,FALSE)</f>
        <v>45.1248</v>
      </c>
      <c r="AI18" s="120">
        <f>VLOOKUP(AF18,informatieblad!$A$27:$M$32,13,FALSE)</f>
        <v>4</v>
      </c>
      <c r="AJ18" s="121" t="e">
        <f>ROUND((AI18*R18),1)</f>
        <v>#VALUE!</v>
      </c>
      <c r="AO18" s="83" t="str">
        <f>'UC mounting materials '!$B$11</f>
        <v>Rail 41x41</v>
      </c>
      <c r="AP18" s="268">
        <f>IF(AB18&gt;999,(AB18+100),0)*C18</f>
        <v>0</v>
      </c>
      <c r="AR18" s="111">
        <f>IF(B17=informatieblad!$A$6,informatieblad!$B$6,IF(B17=informatieblad!$A$7,informatieblad!$B$7,IF(B17=informatieblad!$A$8,informatieblad!$B$8,IF(B17=informatieblad!$A$2,informatieblad!$B$2,IF(B17=informatieblad!$A$3,informatieblad!$B$3,IF(B17=informatieblad!$A$4,informatieblad!$B$4,IF(B17=informatieblad!$A$5,informatieblad!$B$5,"")))))))</f>
        <v>0</v>
      </c>
      <c r="AS18" s="276">
        <f>IF(AR18=AS16,(4*C18),0)</f>
        <v>0</v>
      </c>
      <c r="AT18" s="274">
        <f>IF(AR18=AT16,(4*C18),0)</f>
        <v>0</v>
      </c>
    </row>
    <row r="19" spans="1:50" s="64" customFormat="1" ht="5.0999999999999996" customHeight="1" thickBot="1">
      <c r="A19" s="385"/>
      <c r="B19" s="122"/>
      <c r="C19" s="336"/>
      <c r="D19" s="122"/>
      <c r="E19" s="122"/>
      <c r="F19" s="122"/>
      <c r="G19"/>
      <c r="H19"/>
      <c r="I19"/>
      <c r="J19"/>
      <c r="K19"/>
      <c r="L19"/>
      <c r="M19" s="176"/>
      <c r="N19" s="176"/>
      <c r="O19" s="83"/>
      <c r="P19" s="142"/>
      <c r="Q19" s="83"/>
      <c r="R19" s="142"/>
      <c r="S19" s="142"/>
      <c r="T19" s="143"/>
      <c r="U19" s="143"/>
      <c r="V19" s="339"/>
      <c r="W19" s="339"/>
      <c r="X19" s="339"/>
      <c r="AB19" s="189"/>
      <c r="AC19" s="166"/>
      <c r="AD19" s="166"/>
      <c r="AE19" s="166"/>
      <c r="AF19" s="83"/>
      <c r="AG19" s="144"/>
      <c r="AH19" s="144"/>
      <c r="AI19" s="142"/>
      <c r="AJ19" s="142"/>
      <c r="AO19" s="83"/>
      <c r="AP19" s="83"/>
      <c r="AR19" s="83"/>
      <c r="AS19" s="83"/>
      <c r="AT19" s="83"/>
    </row>
    <row r="20" spans="1:50" s="64" customFormat="1" ht="15.75" thickBot="1">
      <c r="A20" s="78" t="s">
        <v>14</v>
      </c>
      <c r="B20" s="79" t="s">
        <v>15</v>
      </c>
      <c r="C20" s="79" t="s">
        <v>16</v>
      </c>
      <c r="D20" s="79" t="s">
        <v>102</v>
      </c>
      <c r="E20" s="79" t="s">
        <v>172</v>
      </c>
      <c r="F20" s="79" t="s">
        <v>188</v>
      </c>
      <c r="G20" s="79" t="s">
        <v>189</v>
      </c>
      <c r="H20" s="79" t="s">
        <v>190</v>
      </c>
      <c r="I20" s="79" t="s">
        <v>117</v>
      </c>
      <c r="J20" s="79" t="s">
        <v>118</v>
      </c>
      <c r="K20" s="125" t="s">
        <v>191</v>
      </c>
      <c r="L20"/>
    </row>
    <row r="21" spans="1:50" s="64" customFormat="1">
      <c r="A21" s="454">
        <f>A16</f>
        <v>0</v>
      </c>
      <c r="B21" s="167" t="str">
        <f>IF($C18&gt;0,$B26-5,"")</f>
        <v/>
      </c>
      <c r="C21" s="167" t="str">
        <f>IF($C18&gt;0,$C26-5,"")</f>
        <v/>
      </c>
      <c r="D21" s="96"/>
      <c r="E21" s="96" t="str">
        <f>IF($C23&gt;0,(B21-D21)/2,"")</f>
        <v/>
      </c>
      <c r="F21" s="167" t="str">
        <f>IF($C23&gt;0,B21-D21-E21,"")</f>
        <v/>
      </c>
      <c r="G21" s="96">
        <v>0</v>
      </c>
      <c r="H21" s="167" t="str">
        <f>IF($C23&gt;0,C21-D21-G21,"")</f>
        <v/>
      </c>
      <c r="I21" s="300" t="str">
        <f>IF($C18&gt;0,$K$10,"")</f>
        <v/>
      </c>
      <c r="J21" s="300" t="str">
        <f>IF($C18&gt;0,$K$11,"")</f>
        <v/>
      </c>
      <c r="K21" s="178"/>
      <c r="L21"/>
      <c r="M21" s="375"/>
      <c r="N21" s="375"/>
      <c r="O21" s="97" t="s">
        <v>14</v>
      </c>
      <c r="P21" s="98" t="s">
        <v>27</v>
      </c>
      <c r="Q21" s="98" t="s">
        <v>28</v>
      </c>
      <c r="R21" s="98" t="s">
        <v>27</v>
      </c>
      <c r="S21" s="98" t="s">
        <v>28</v>
      </c>
      <c r="T21" s="98" t="s">
        <v>29</v>
      </c>
      <c r="U21" s="66" t="s">
        <v>30</v>
      </c>
      <c r="V21" s="376" t="s">
        <v>31</v>
      </c>
      <c r="W21" s="153"/>
      <c r="X21" s="377"/>
      <c r="AB21" s="382" t="s">
        <v>83</v>
      </c>
      <c r="AC21" s="98" t="s">
        <v>84</v>
      </c>
      <c r="AD21" s="98" t="s">
        <v>85</v>
      </c>
      <c r="AE21" s="100" t="s">
        <v>86</v>
      </c>
      <c r="AF21" s="100" t="s">
        <v>34</v>
      </c>
      <c r="AG21" s="98" t="s">
        <v>32</v>
      </c>
      <c r="AH21" s="98" t="s">
        <v>32</v>
      </c>
      <c r="AI21" s="98" t="s">
        <v>35</v>
      </c>
      <c r="AJ21" s="101" t="s">
        <v>36</v>
      </c>
      <c r="AP21" s="266" t="s">
        <v>37</v>
      </c>
      <c r="AR21" s="269" t="s">
        <v>38</v>
      </c>
      <c r="AS21" s="272">
        <f>informatieblad!$B$3</f>
        <v>0</v>
      </c>
      <c r="AT21" s="264">
        <f>informatieblad!$B$4</f>
        <v>0</v>
      </c>
    </row>
    <row r="22" spans="1:50" s="64" customFormat="1">
      <c r="A22" s="507"/>
      <c r="B22" s="482" t="str">
        <f>B17</f>
        <v>none</v>
      </c>
      <c r="C22" s="483"/>
      <c r="D22" s="397"/>
      <c r="E22" s="174"/>
      <c r="F22" s="174"/>
      <c r="G22" s="174"/>
      <c r="H22" s="469" t="s">
        <v>82</v>
      </c>
      <c r="I22" s="470"/>
      <c r="J22" s="470"/>
      <c r="K22" s="191" t="str">
        <f>(IF($C23&gt;0,(IF(MAX((MAX(B21,C21)-D21)/2,(D21-MAX(B21,C21)))*1.732&gt;270,MAX((MAX(B21,C21)-D21)/2,(#REF!-MAX(B21,C21)))*1.732,270)),""))</f>
        <v/>
      </c>
      <c r="L22"/>
      <c r="M22" s="83"/>
      <c r="N22" s="83"/>
      <c r="O22" s="103">
        <f>A21</f>
        <v>0</v>
      </c>
      <c r="P22" s="104" t="s">
        <v>39</v>
      </c>
      <c r="Q22" s="104" t="s">
        <v>39</v>
      </c>
      <c r="R22" s="104" t="s">
        <v>40</v>
      </c>
      <c r="S22" s="104" t="s">
        <v>40</v>
      </c>
      <c r="T22" s="104" t="s">
        <v>40</v>
      </c>
      <c r="U22" s="105"/>
      <c r="V22" s="378" t="s">
        <v>27</v>
      </c>
      <c r="W22" s="155" t="s">
        <v>40</v>
      </c>
      <c r="X22" s="379" t="s">
        <v>41</v>
      </c>
      <c r="AB22" s="383"/>
      <c r="AD22" s="136" t="s">
        <v>15</v>
      </c>
      <c r="AE22" s="136" t="s">
        <v>16</v>
      </c>
      <c r="AF22" s="107"/>
      <c r="AG22" s="104" t="s">
        <v>40</v>
      </c>
      <c r="AH22" s="104" t="s">
        <v>41</v>
      </c>
      <c r="AI22" s="108"/>
      <c r="AJ22" s="109"/>
      <c r="AO22" s="83" t="str">
        <f>'UC mounting materials '!$B$10</f>
        <v>Rail 30x15</v>
      </c>
      <c r="AP22" s="327">
        <f>IF(AB23&lt;1000,(AB23+100),0)*C23</f>
        <v>0</v>
      </c>
      <c r="AR22" s="265" t="s">
        <v>47</v>
      </c>
      <c r="AS22" s="83" t="s">
        <v>23</v>
      </c>
      <c r="AT22" s="273" t="s">
        <v>23</v>
      </c>
    </row>
    <row r="23" spans="1:50" s="64" customFormat="1" ht="15.75" thickBot="1">
      <c r="A23" s="508"/>
      <c r="B23" s="387" t="s">
        <v>23</v>
      </c>
      <c r="C23" s="95">
        <f>C18</f>
        <v>0</v>
      </c>
      <c r="D23" s="139"/>
      <c r="E23" s="94" t="str">
        <f>IF($C23&gt;0,C23*Q23,"")</f>
        <v/>
      </c>
      <c r="F23" s="141" t="s">
        <v>24</v>
      </c>
      <c r="G23" s="509"/>
      <c r="H23" s="510"/>
      <c r="I23" s="510"/>
      <c r="J23" s="510"/>
      <c r="K23" s="511"/>
      <c r="L23"/>
      <c r="M23" s="176"/>
      <c r="N23" s="176"/>
      <c r="O23" s="111"/>
      <c r="P23" s="112" t="str">
        <f>IF($C23&gt;0,((2*(B21+C21))*AC23)/1000000,"")</f>
        <v/>
      </c>
      <c r="Q23" s="158" t="str">
        <f>((IF(P23&lt;=informatieblad!$I$15,informatieblad!$I$15,IF(P23&gt;=informatieblad!$I$15,P23))))</f>
        <v/>
      </c>
      <c r="R23" s="112" t="str">
        <f>IF($C23&gt;0,((2*(B21+C21))*AC23)/1000000,"")</f>
        <v/>
      </c>
      <c r="S23" s="112">
        <f>((IF(R23&lt;=informatieblad!$H$15,informatieblad!$H$15,IF(R23&gt;=informatieblad!$H$15,R23))))</f>
        <v>0</v>
      </c>
      <c r="T23" s="113" t="str">
        <f>IF($C23&gt;0,((S23*AG23)+(S23*W23))*C23,"")</f>
        <v/>
      </c>
      <c r="U23" s="114" t="str">
        <f>IF($C23&gt;0,((Q23*AH23)+(Q23*X23))*C23,"")</f>
        <v/>
      </c>
      <c r="V23" s="380">
        <f>G23</f>
        <v>0</v>
      </c>
      <c r="W23" s="115" t="str">
        <f>IF($C23&gt;0,VLOOKUP(G18,informatieblad!$A$37:$D$41,2,FALSE),"")</f>
        <v/>
      </c>
      <c r="X23" s="381">
        <f>VLOOKUP(G18,informatieblad!$A$37:$D$41,4,FALSE)</f>
        <v>0</v>
      </c>
      <c r="AB23" s="384">
        <f>(MAX(B21:C21))</f>
        <v>0</v>
      </c>
      <c r="AC23" s="161">
        <f>(MAX(AE23,AD23))+K10</f>
        <v>30</v>
      </c>
      <c r="AD23" s="162">
        <f>ROUND((SQRT((((MAX(E21,F21))^2)+(K21^2)))),0)</f>
        <v>0</v>
      </c>
      <c r="AE23" s="163">
        <f>ROUND((SQRT((((MAX(G21,H21))^2)+(K21^2)))),0)</f>
        <v>0</v>
      </c>
      <c r="AF23" s="119">
        <f>LOOKUP(AB23,informatieblad!$C$27:$C$32,informatieblad!$A$27:$A$32)</f>
        <v>0.5</v>
      </c>
      <c r="AG23" s="118">
        <f>VLOOKUP(AF23,informatieblad!$A$27:$M$32,6,FALSE)</f>
        <v>0</v>
      </c>
      <c r="AH23" s="118">
        <f>VLOOKUP(AF23,informatieblad!$A$27:$M$32,8,FALSE)</f>
        <v>45.1248</v>
      </c>
      <c r="AI23" s="120">
        <f>VLOOKUP(AF23,informatieblad!$A$27:$M$32,13,FALSE)</f>
        <v>4</v>
      </c>
      <c r="AJ23" s="121" t="e">
        <f>ROUND((AI23*R23),1)</f>
        <v>#VALUE!</v>
      </c>
      <c r="AO23" s="83" t="str">
        <f>'UC mounting materials '!$B$11</f>
        <v>Rail 41x41</v>
      </c>
      <c r="AP23" s="268">
        <f>IF(AB23&gt;999,(AB23+100),0)*C23</f>
        <v>0</v>
      </c>
      <c r="AR23" s="111">
        <f>IF(B22=informatieblad!$A$6,informatieblad!$B$6,IF(B22=informatieblad!$A$7,informatieblad!$B$7,IF(B22=informatieblad!$A$8,informatieblad!$B$8,IF(B22=informatieblad!$A$2,informatieblad!$B$2,IF(B22=informatieblad!$A$3,informatieblad!$B$3,IF(B22=informatieblad!$A$4,informatieblad!$B$4,IF(B22=informatieblad!$A$5,informatieblad!$B$5,"")))))))</f>
        <v>0</v>
      </c>
      <c r="AS23" s="276">
        <f>IF(AR23=AS21,(4*C23),0)</f>
        <v>0</v>
      </c>
      <c r="AT23" s="274">
        <f>IF(AR23=AT21,(4*C23),0)</f>
        <v>0</v>
      </c>
    </row>
    <row r="24" spans="1:50" s="64" customFormat="1" ht="5.0999999999999996" customHeight="1" thickBot="1">
      <c r="A24" s="386"/>
      <c r="B24" s="122"/>
      <c r="C24" s="336"/>
      <c r="D24" s="122"/>
      <c r="E24" s="122"/>
      <c r="F24" s="122"/>
      <c r="G24"/>
      <c r="H24"/>
      <c r="I24"/>
      <c r="J24"/>
      <c r="K24"/>
      <c r="L24"/>
      <c r="M24" s="176"/>
      <c r="N24" s="176"/>
      <c r="O24" s="83"/>
      <c r="P24" s="142"/>
      <c r="Q24" s="83"/>
      <c r="R24" s="142"/>
      <c r="S24" s="142"/>
      <c r="T24" s="143"/>
      <c r="U24" s="143"/>
      <c r="V24" s="339"/>
      <c r="W24" s="339"/>
      <c r="X24" s="339"/>
      <c r="AB24" s="189"/>
      <c r="AC24" s="166"/>
      <c r="AD24" s="166"/>
      <c r="AE24" s="166"/>
      <c r="AF24" s="83"/>
      <c r="AG24" s="144"/>
      <c r="AH24" s="144"/>
      <c r="AI24" s="142"/>
      <c r="AJ24" s="142"/>
      <c r="AO24" s="83"/>
      <c r="AP24" s="83"/>
      <c r="AR24" s="83"/>
      <c r="AS24" s="83"/>
      <c r="AT24" s="83"/>
    </row>
    <row r="25" spans="1:50" s="64" customFormat="1" ht="15.75" thickBot="1">
      <c r="A25" s="389" t="s">
        <v>14</v>
      </c>
      <c r="B25" s="390" t="s">
        <v>15</v>
      </c>
      <c r="C25" s="390" t="s">
        <v>16</v>
      </c>
      <c r="D25" s="84" t="s">
        <v>192</v>
      </c>
      <c r="E25" s="167"/>
      <c r="F25" s="167"/>
      <c r="G25" s="167"/>
      <c r="H25" s="167"/>
      <c r="I25" s="167"/>
      <c r="J25" s="167"/>
      <c r="K25" s="196"/>
      <c r="L25"/>
      <c r="AK25" s="83"/>
      <c r="AL25" s="83"/>
      <c r="AN25" s="83"/>
      <c r="AP25" s="83"/>
      <c r="AR25" s="83"/>
      <c r="AS25" s="83"/>
      <c r="AT25" s="83"/>
      <c r="AU25" s="83"/>
      <c r="AV25" s="83"/>
      <c r="AW25" s="83"/>
    </row>
    <row r="26" spans="1:50" s="64" customFormat="1" ht="13.5" customHeight="1">
      <c r="A26" s="512">
        <f>A16</f>
        <v>0</v>
      </c>
      <c r="B26" s="388"/>
      <c r="C26" s="388"/>
      <c r="D26" s="388"/>
      <c r="E26" s="515"/>
      <c r="F26" s="516"/>
      <c r="G26" s="516"/>
      <c r="H26" s="517"/>
      <c r="I26" s="394"/>
      <c r="J26" s="394"/>
      <c r="K26" s="395"/>
      <c r="L26"/>
      <c r="O26" s="97" t="s">
        <v>193</v>
      </c>
      <c r="P26" s="98" t="s">
        <v>27</v>
      </c>
      <c r="Q26" s="98" t="s">
        <v>28</v>
      </c>
      <c r="R26" s="98" t="s">
        <v>27</v>
      </c>
      <c r="S26" s="98" t="s">
        <v>28</v>
      </c>
      <c r="T26" s="98" t="s">
        <v>29</v>
      </c>
      <c r="U26" s="66" t="s">
        <v>30</v>
      </c>
      <c r="V26" s="99" t="s">
        <v>31</v>
      </c>
      <c r="W26" s="99"/>
      <c r="X26" s="99"/>
      <c r="Y26" s="98" t="s">
        <v>32</v>
      </c>
      <c r="Z26" s="98" t="s">
        <v>32</v>
      </c>
      <c r="AA26" s="98"/>
      <c r="AB26" s="98" t="s">
        <v>33</v>
      </c>
      <c r="AC26" s="100" t="s">
        <v>34</v>
      </c>
      <c r="AD26" s="98" t="s">
        <v>32</v>
      </c>
      <c r="AE26" s="98" t="s">
        <v>32</v>
      </c>
      <c r="AF26" s="98" t="s">
        <v>32</v>
      </c>
      <c r="AG26" s="98" t="s">
        <v>32</v>
      </c>
      <c r="AH26" s="98" t="s">
        <v>35</v>
      </c>
      <c r="AI26" s="101" t="s">
        <v>36</v>
      </c>
      <c r="AJ26" s="97" t="str">
        <f>informatieblad!$A$5</f>
        <v>none</v>
      </c>
      <c r="AK26" s="264"/>
      <c r="AM26" s="266" t="s">
        <v>17</v>
      </c>
      <c r="AP26" s="266" t="s">
        <v>37</v>
      </c>
      <c r="AR26" s="269" t="s">
        <v>38</v>
      </c>
      <c r="AS26" s="272"/>
      <c r="AT26" s="272">
        <f>informatieblad!$B$3</f>
        <v>0</v>
      </c>
      <c r="AU26" s="272">
        <f>informatieblad!$B$3</f>
        <v>0</v>
      </c>
      <c r="AV26" s="272">
        <f>informatieblad!$B$4</f>
        <v>0</v>
      </c>
      <c r="AW26" s="264">
        <f>informatieblad!$B$4</f>
        <v>0</v>
      </c>
    </row>
    <row r="27" spans="1:50" s="64" customFormat="1" ht="14.25" customHeight="1">
      <c r="A27" s="513"/>
      <c r="B27" s="102" t="str">
        <f>B17</f>
        <v>none</v>
      </c>
      <c r="C27" s="102" t="str">
        <f>B17</f>
        <v>none</v>
      </c>
      <c r="D27" s="369"/>
      <c r="E27" s="394"/>
      <c r="F27" s="370"/>
      <c r="G27" s="370"/>
      <c r="H27" s="393"/>
      <c r="I27" s="396"/>
      <c r="J27" s="394"/>
      <c r="K27" s="395"/>
      <c r="L27"/>
      <c r="O27" s="103">
        <f>A26</f>
        <v>0</v>
      </c>
      <c r="P27" s="104" t="s">
        <v>39</v>
      </c>
      <c r="Q27" s="104" t="s">
        <v>39</v>
      </c>
      <c r="R27" s="104" t="s">
        <v>40</v>
      </c>
      <c r="S27" s="104" t="s">
        <v>40</v>
      </c>
      <c r="T27" s="104" t="s">
        <v>40</v>
      </c>
      <c r="U27" s="105"/>
      <c r="V27" s="106" t="s">
        <v>27</v>
      </c>
      <c r="W27" s="106" t="s">
        <v>40</v>
      </c>
      <c r="X27" s="106" t="s">
        <v>41</v>
      </c>
      <c r="Y27" s="104" t="s">
        <v>42</v>
      </c>
      <c r="Z27" s="104" t="s">
        <v>43</v>
      </c>
      <c r="AA27" s="104"/>
      <c r="AB27" s="104" t="s">
        <v>44</v>
      </c>
      <c r="AC27" s="107"/>
      <c r="AD27" s="104" t="s">
        <v>45</v>
      </c>
      <c r="AE27" s="104" t="s">
        <v>42</v>
      </c>
      <c r="AF27" s="104" t="s">
        <v>43</v>
      </c>
      <c r="AG27" s="104" t="s">
        <v>46</v>
      </c>
      <c r="AH27" s="108"/>
      <c r="AI27" s="109"/>
      <c r="AJ27" s="265"/>
      <c r="AK27" s="105"/>
      <c r="AM27" s="267"/>
      <c r="AO27" s="83" t="str">
        <f>'UC mounting materials '!$B$10</f>
        <v>Rail 30x15</v>
      </c>
      <c r="AP27" s="327">
        <f>IF(AB28&lt;1000,(AB28+100),0)*C28</f>
        <v>0</v>
      </c>
      <c r="AR27" s="265" t="s">
        <v>47</v>
      </c>
      <c r="AS27" s="106" t="s">
        <v>48</v>
      </c>
      <c r="AT27" s="83" t="s">
        <v>23</v>
      </c>
      <c r="AU27" s="83" t="s">
        <v>23</v>
      </c>
      <c r="AV27" s="83" t="s">
        <v>23</v>
      </c>
      <c r="AW27" s="273" t="s">
        <v>23</v>
      </c>
    </row>
    <row r="28" spans="1:50" s="64" customFormat="1" ht="15.75" customHeight="1" thickBot="1">
      <c r="A28" s="514"/>
      <c r="B28" s="373" t="s">
        <v>23</v>
      </c>
      <c r="C28" s="373">
        <f>C18</f>
        <v>0</v>
      </c>
      <c r="D28" s="372">
        <f>C28*Q28</f>
        <v>0</v>
      </c>
      <c r="E28" s="391">
        <f>C23*O23</f>
        <v>0</v>
      </c>
      <c r="F28" s="392" t="s">
        <v>24</v>
      </c>
      <c r="G28" s="509"/>
      <c r="H28" s="510"/>
      <c r="I28" s="510"/>
      <c r="J28" s="510"/>
      <c r="K28" s="511"/>
      <c r="L28"/>
      <c r="O28" s="111"/>
      <c r="P28" s="112">
        <f>(((2*(B26+C26))*D26)/1000000)</f>
        <v>0</v>
      </c>
      <c r="Q28" s="112">
        <f>((IF(P28&lt;=informatieblad!$I$12,informatieblad!$I$12,IF(P28&gt;=informatieblad!$I$12,P28))))</f>
        <v>0.5</v>
      </c>
      <c r="R28" s="112">
        <f>(((2*B26)+(2*C26))*D26)/1000000</f>
        <v>0</v>
      </c>
      <c r="S28" s="112">
        <f>((IF(R28&lt;=informatieblad!$H$12,informatieblad!$H$12,IF(R28&gt;=informatieblad!$H$12,R28))))</f>
        <v>0</v>
      </c>
      <c r="T28" s="113">
        <f>IF($C18&gt;0,(S28*Z28)+(S28*W28))*C28</f>
        <v>0</v>
      </c>
      <c r="U28" s="114">
        <f>IF($C18&gt;0,(Q28*Y28)+(Q28*X28))*C28</f>
        <v>0</v>
      </c>
      <c r="V28" s="115">
        <f>I28</f>
        <v>0</v>
      </c>
      <c r="W28" s="116" t="e">
        <f>VLOOKUP(G28,informatieblad!$A$37:$D$41,2,FALSE)</f>
        <v>#N/A</v>
      </c>
      <c r="X28" s="116" t="e">
        <f>VLOOKUP(G28,informatieblad!$A$37:$D$41,4,FALSE)</f>
        <v>#N/A</v>
      </c>
      <c r="Y28" s="117">
        <f>((IF(D26&lt;=900,AE28,IF(D26&gt;=900,AG28))))</f>
        <v>45.1248</v>
      </c>
      <c r="Z28" s="118">
        <f>((IF(D26&lt;=900,AD28,IF(D26&gt;=900,AF28))))</f>
        <v>0</v>
      </c>
      <c r="AA28" s="119"/>
      <c r="AB28" s="119">
        <f>(MAX(B26:C26))</f>
        <v>0</v>
      </c>
      <c r="AC28" s="119">
        <f>LOOKUP(AB28,informatieblad!$C$27:$C$32,informatieblad!$A$27:$A$32)</f>
        <v>0.5</v>
      </c>
      <c r="AD28" s="118">
        <f>VLOOKUP(AC28,informatieblad!$A$27:$M$32,6,FALSE)</f>
        <v>0</v>
      </c>
      <c r="AE28" s="118">
        <f>VLOOKUP(AC28,informatieblad!$A$27:$M$32,8,FALSE)</f>
        <v>45.1248</v>
      </c>
      <c r="AF28" s="118">
        <f>VLOOKUP(AC28,informatieblad!$A$27:$M$32,9,FALSE)</f>
        <v>0</v>
      </c>
      <c r="AG28" s="118">
        <f>VLOOKUP(AC28,informatieblad!$A$27:$M$32,11,FALSE)</f>
        <v>32.463200000000001</v>
      </c>
      <c r="AH28" s="120">
        <f>VLOOKUP(AC28,informatieblad!$A$27:$M$32,13,FALSE)</f>
        <v>4</v>
      </c>
      <c r="AI28" s="121">
        <f>ROUND((AH28*R28),1)</f>
        <v>0</v>
      </c>
      <c r="AJ28" s="111">
        <f>(IF(B27=AJ26,((2*B26)+(2*C26)),0))*C28</f>
        <v>0</v>
      </c>
      <c r="AK28" s="260">
        <f>(IF(C27=AJ26,((2*B26)+(2*C26)),0))*C28</f>
        <v>0</v>
      </c>
      <c r="AM28" s="268">
        <f>D26*C28</f>
        <v>0</v>
      </c>
      <c r="AO28" s="83" t="str">
        <f>'UC mounting materials '!$B$11</f>
        <v>Rail 41x41</v>
      </c>
      <c r="AP28" s="268">
        <f>IF(AB28&gt;999,(AB28+100),0)*C28</f>
        <v>0</v>
      </c>
      <c r="AR28" s="111">
        <f>IF(B27=informatieblad!$A$6,informatieblad!$B$6,IF(B27=informatieblad!$A$7,informatieblad!$B$7,IF(B27=informatieblad!$A$8,informatieblad!$B$8,IF(B27=informatieblad!$A$2,informatieblad!$B$2,IF(B27=informatieblad!$A$3,informatieblad!$B$3,IF(B27=informatieblad!$A$4,informatieblad!$B$4,IF(B27=informatieblad!$A$5,informatieblad!$B$5,"")))))))</f>
        <v>0</v>
      </c>
      <c r="AS28" s="275">
        <f>IF(C27=informatieblad!$A$6,informatieblad!$B$6,IF(C27=informatieblad!$A$7,informatieblad!$B$7,IF(C27=informatieblad!$A$8,informatieblad!$B$8,IF(C27=informatieblad!$A$2,informatieblad!$B$2,IF(C27=informatieblad!$A$3,informatieblad!$B$3,IF(C27=informatieblad!$A$4,informatieblad!$B$4,IF(C27=informatieblad!$A$5,informatieblad!$B$5,"")))))))</f>
        <v>0</v>
      </c>
      <c r="AT28" s="276">
        <f>IF(AR28=AT26,(4*C28),0)</f>
        <v>0</v>
      </c>
      <c r="AU28" s="276">
        <f>IF(AS28=AT26,(4*C28),0)</f>
        <v>0</v>
      </c>
      <c r="AV28" s="276">
        <f>IF(AR28=AV26,(4*C28),0)</f>
        <v>0</v>
      </c>
      <c r="AW28" s="274">
        <f>IF(AS28=AV26,(4*C28),0)</f>
        <v>0</v>
      </c>
    </row>
    <row r="29" spans="1:50" s="64" customFormat="1" ht="4.5" customHeight="1" thickBot="1">
      <c r="A29" s="122"/>
      <c r="B29" s="122"/>
      <c r="C29" s="122"/>
      <c r="D29" s="122"/>
      <c r="E29" s="122"/>
      <c r="F29" s="122"/>
      <c r="G29" s="122"/>
      <c r="H29" s="122"/>
      <c r="AK29" s="83"/>
      <c r="AL29" s="83"/>
      <c r="AN29" s="83"/>
      <c r="AP29" s="83"/>
      <c r="AQ29" s="83"/>
      <c r="AS29" s="83"/>
      <c r="AT29" s="83"/>
      <c r="AU29" s="83"/>
      <c r="AV29" s="83"/>
      <c r="AW29" s="83"/>
      <c r="AX29" s="83"/>
    </row>
    <row r="30" spans="1:50" ht="16.5" customHeight="1">
      <c r="O30" s="97" t="s">
        <v>193</v>
      </c>
      <c r="P30" s="98" t="s">
        <v>27</v>
      </c>
      <c r="Q30" s="98" t="s">
        <v>28</v>
      </c>
      <c r="R30" s="98" t="s">
        <v>27</v>
      </c>
      <c r="S30" s="98" t="s">
        <v>28</v>
      </c>
      <c r="T30" s="98" t="s">
        <v>29</v>
      </c>
      <c r="U30" s="66" t="s">
        <v>30</v>
      </c>
    </row>
    <row r="31" spans="1:50" ht="15.75" customHeight="1">
      <c r="O31" s="103">
        <f>A16</f>
        <v>0</v>
      </c>
      <c r="P31" s="104" t="s">
        <v>39</v>
      </c>
      <c r="Q31" s="104" t="s">
        <v>39</v>
      </c>
      <c r="R31" s="104" t="s">
        <v>40</v>
      </c>
      <c r="S31" s="104" t="s">
        <v>40</v>
      </c>
      <c r="T31" s="104" t="s">
        <v>40</v>
      </c>
      <c r="U31" s="105"/>
    </row>
    <row r="32" spans="1:50" ht="15" customHeight="1" thickBot="1">
      <c r="O32" s="111"/>
      <c r="P32" s="112">
        <f t="shared" ref="P32:U32" si="0">SUM(P18,P23,P28)</f>
        <v>0</v>
      </c>
      <c r="Q32" s="112">
        <f t="shared" si="0"/>
        <v>0.5</v>
      </c>
      <c r="R32" s="112">
        <f t="shared" si="0"/>
        <v>0</v>
      </c>
      <c r="S32" s="112">
        <f t="shared" si="0"/>
        <v>0</v>
      </c>
      <c r="T32" s="113">
        <f t="shared" si="0"/>
        <v>0</v>
      </c>
      <c r="U32" s="114">
        <f t="shared" si="0"/>
        <v>0</v>
      </c>
    </row>
    <row r="33" spans="1:49" ht="15.75" thickBot="1">
      <c r="A33" s="403"/>
      <c r="B33" s="404"/>
      <c r="C33" s="404"/>
      <c r="D33" s="404"/>
      <c r="E33" s="404"/>
      <c r="F33" s="404"/>
      <c r="G33" s="404"/>
      <c r="H33" s="404"/>
      <c r="I33" s="404"/>
      <c r="J33" s="404"/>
    </row>
    <row r="34" spans="1:49" ht="15.75" thickBot="1">
      <c r="A34" s="78" t="s">
        <v>14</v>
      </c>
      <c r="B34" s="79" t="s">
        <v>15</v>
      </c>
      <c r="C34" s="79" t="s">
        <v>16</v>
      </c>
      <c r="D34" s="79" t="s">
        <v>101</v>
      </c>
      <c r="E34" s="79" t="s">
        <v>183</v>
      </c>
      <c r="F34" s="79" t="s">
        <v>184</v>
      </c>
      <c r="G34" s="79" t="s">
        <v>185</v>
      </c>
      <c r="H34" s="79" t="s">
        <v>186</v>
      </c>
      <c r="I34" s="79" t="s">
        <v>117</v>
      </c>
      <c r="J34" s="79" t="s">
        <v>118</v>
      </c>
      <c r="K34" s="125" t="s">
        <v>187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</row>
    <row r="35" spans="1:49" ht="15.75" thickBot="1">
      <c r="A35" s="445"/>
      <c r="B35" s="167" t="str">
        <f>IF($C37&gt;0,$B45-5,"")</f>
        <v/>
      </c>
      <c r="C35" s="167" t="str">
        <f>IF($C37&gt;0,$C45-5,"")</f>
        <v/>
      </c>
      <c r="D35" s="96"/>
      <c r="E35" s="96" t="str">
        <f>IF($C37&gt;0,(B35-D35)/2,"")</f>
        <v/>
      </c>
      <c r="F35" s="167" t="str">
        <f>IF($C37&gt;0,B35-D35-E35,"")</f>
        <v/>
      </c>
      <c r="G35" s="96">
        <v>1</v>
      </c>
      <c r="H35" s="167" t="str">
        <f>IF($C37&gt;0,C35-D35-G35,"")</f>
        <v/>
      </c>
      <c r="I35" s="300" t="str">
        <f>IF($C37&gt;0,$K$10,"")</f>
        <v/>
      </c>
      <c r="J35" s="300" t="str">
        <f>IF($C37&gt;0,$K$11,"")</f>
        <v/>
      </c>
      <c r="K35" s="178"/>
      <c r="L35" s="345" t="s">
        <v>20</v>
      </c>
      <c r="M35" s="375"/>
      <c r="N35" s="375"/>
      <c r="O35" s="97" t="s">
        <v>14</v>
      </c>
      <c r="P35" s="98" t="s">
        <v>27</v>
      </c>
      <c r="Q35" s="98" t="s">
        <v>28</v>
      </c>
      <c r="R35" s="98" t="s">
        <v>27</v>
      </c>
      <c r="S35" s="98" t="s">
        <v>28</v>
      </c>
      <c r="T35" s="98" t="s">
        <v>29</v>
      </c>
      <c r="U35" s="66" t="s">
        <v>30</v>
      </c>
      <c r="V35" s="376" t="s">
        <v>31</v>
      </c>
      <c r="W35" s="153"/>
      <c r="X35" s="377"/>
      <c r="Y35" s="64"/>
      <c r="Z35" s="64"/>
      <c r="AA35" s="64"/>
      <c r="AB35" s="382" t="s">
        <v>83</v>
      </c>
      <c r="AC35" s="98" t="s">
        <v>84</v>
      </c>
      <c r="AD35" s="98" t="s">
        <v>89</v>
      </c>
      <c r="AE35" s="100" t="s">
        <v>90</v>
      </c>
      <c r="AF35" s="100" t="s">
        <v>34</v>
      </c>
      <c r="AG35" s="98" t="s">
        <v>32</v>
      </c>
      <c r="AH35" s="98" t="s">
        <v>32</v>
      </c>
      <c r="AI35" s="98" t="s">
        <v>49</v>
      </c>
      <c r="AJ35" s="101" t="s">
        <v>36</v>
      </c>
      <c r="AK35" s="64"/>
      <c r="AL35" s="64"/>
      <c r="AM35" s="64"/>
      <c r="AN35" s="64"/>
      <c r="AO35" s="64"/>
      <c r="AP35" s="266" t="s">
        <v>37</v>
      </c>
      <c r="AQ35" s="64"/>
      <c r="AR35" s="269" t="s">
        <v>38</v>
      </c>
      <c r="AS35" s="272">
        <f>informatieblad!$B$3</f>
        <v>0</v>
      </c>
      <c r="AT35" s="264">
        <f>informatieblad!$B$4</f>
        <v>0</v>
      </c>
      <c r="AU35" s="64"/>
      <c r="AV35" s="64"/>
      <c r="AW35" s="64"/>
    </row>
    <row r="36" spans="1:49">
      <c r="A36" s="481"/>
      <c r="B36" s="482" t="str">
        <f>informatieblad!A5</f>
        <v>none</v>
      </c>
      <c r="C36" s="483"/>
      <c r="D36" s="397" t="str">
        <f>A35&amp;"-"&amp;informatieblad!$B$22&amp;"-"&amp;B45&amp;"-"&amp;C45&amp;"-"&amp;D45&amp;"-"&amp;K35&amp;"-"&amp;K40&amp;"-"&amp;D35&amp;"-"&amp;D40&amp;"-"&amp;B36&amp;"-"&amp;G37</f>
        <v>-RctK--------none-Options None</v>
      </c>
      <c r="E36" s="174"/>
      <c r="F36" s="174"/>
      <c r="G36" s="174"/>
      <c r="H36" s="469" t="s">
        <v>82</v>
      </c>
      <c r="I36" s="470"/>
      <c r="J36" s="470"/>
      <c r="K36" s="191" t="str">
        <f>(IF($C37&gt;0,(IF(MAX((MAX(B35,C35)-D35)/2,(D35-MAX(B35,C35)))*1.732&gt;270,MAX((MAX(B35,C35)-D35)/2,(#REF!-MAX(B35,C35)))*1.732,270)),""))</f>
        <v/>
      </c>
      <c r="L36" s="83"/>
      <c r="M36" s="83"/>
      <c r="N36" s="83"/>
      <c r="O36" s="103">
        <f>A35</f>
        <v>0</v>
      </c>
      <c r="P36" s="104" t="s">
        <v>39</v>
      </c>
      <c r="Q36" s="104" t="s">
        <v>39</v>
      </c>
      <c r="R36" s="104" t="s">
        <v>40</v>
      </c>
      <c r="S36" s="104" t="s">
        <v>40</v>
      </c>
      <c r="T36" s="104" t="s">
        <v>40</v>
      </c>
      <c r="U36" s="105"/>
      <c r="V36" s="378" t="s">
        <v>27</v>
      </c>
      <c r="W36" s="155" t="s">
        <v>40</v>
      </c>
      <c r="X36" s="379" t="s">
        <v>41</v>
      </c>
      <c r="Y36" s="64"/>
      <c r="Z36" s="64"/>
      <c r="AA36" s="64"/>
      <c r="AB36" s="383"/>
      <c r="AC36" s="64"/>
      <c r="AD36" s="136" t="s">
        <v>15</v>
      </c>
      <c r="AE36" s="136" t="s">
        <v>16</v>
      </c>
      <c r="AF36" s="107"/>
      <c r="AG36" s="104" t="s">
        <v>40</v>
      </c>
      <c r="AH36" s="104" t="s">
        <v>41</v>
      </c>
      <c r="AI36" s="108"/>
      <c r="AJ36" s="109"/>
      <c r="AK36" s="64"/>
      <c r="AL36" s="64"/>
      <c r="AM36" s="64"/>
      <c r="AN36" s="64"/>
      <c r="AO36" s="83" t="str">
        <f>'UC mounting materials '!$B$10</f>
        <v>Rail 30x15</v>
      </c>
      <c r="AP36" s="327">
        <f>IF(AB37&lt;1000,(AB37+100),0)*C37</f>
        <v>0</v>
      </c>
      <c r="AQ36" s="64"/>
      <c r="AR36" s="265" t="s">
        <v>47</v>
      </c>
      <c r="AS36" s="83" t="s">
        <v>23</v>
      </c>
      <c r="AT36" s="273" t="s">
        <v>23</v>
      </c>
      <c r="AU36" s="64"/>
      <c r="AV36" s="64"/>
      <c r="AW36" s="64"/>
    </row>
    <row r="37" spans="1:49" ht="15.75" thickBot="1">
      <c r="A37" s="476"/>
      <c r="B37" s="186" t="s">
        <v>23</v>
      </c>
      <c r="C37" s="110"/>
      <c r="D37" s="139"/>
      <c r="E37" s="94" t="str">
        <f>IF($C37&gt;0,C37*Q37,"")</f>
        <v/>
      </c>
      <c r="F37" s="141" t="s">
        <v>24</v>
      </c>
      <c r="G37" s="451" t="s">
        <v>25</v>
      </c>
      <c r="H37" s="484"/>
      <c r="I37" s="484"/>
      <c r="J37" s="484"/>
      <c r="K37" s="485"/>
      <c r="L37" s="176"/>
      <c r="M37" s="176"/>
      <c r="N37" s="176"/>
      <c r="O37" s="111"/>
      <c r="P37" s="112" t="str">
        <f>IF($C37&gt;0,((2*(B35+C35))*AC37)/1000000,"")</f>
        <v/>
      </c>
      <c r="Q37" s="158" t="str">
        <f>((IF(P37&lt;=informatieblad!$I$15,informatieblad!$I$15,IF(P37&gt;=informatieblad!$I$15,P37))))</f>
        <v/>
      </c>
      <c r="R37" s="112" t="str">
        <f>IF($C37&gt;0,((2*(B35+C35))*AC37)/1000000,"")</f>
        <v/>
      </c>
      <c r="S37" s="112">
        <f>((IF(R37&lt;=informatieblad!$H$15,informatieblad!$H$15,IF(R37&gt;=informatieblad!$H$15,R37))))</f>
        <v>0</v>
      </c>
      <c r="T37" s="113" t="str">
        <f>IF($C37&gt;0,((S37*AG37)+(S37*W37))*C37,"")</f>
        <v/>
      </c>
      <c r="U37" s="114" t="str">
        <f>IF($C37&gt;0,((Q37*AH37)+(Q37*X37))*C37,"")</f>
        <v/>
      </c>
      <c r="V37" s="380" t="str">
        <f>G37</f>
        <v>Options None</v>
      </c>
      <c r="W37" s="115" t="str">
        <f>IF($C37&gt;0,VLOOKUP(G37,informatieblad!$A$37:$D$41,2,FALSE),"")</f>
        <v/>
      </c>
      <c r="X37" s="381">
        <f>VLOOKUP(G37,informatieblad!$A$37:$D$41,4,FALSE)</f>
        <v>0</v>
      </c>
      <c r="Y37" s="64"/>
      <c r="Z37" s="64"/>
      <c r="AA37" s="64"/>
      <c r="AB37" s="384">
        <f>(MAX(B35:C35))</f>
        <v>0</v>
      </c>
      <c r="AC37" s="161">
        <f>(MAX(AE37,AD37))+K29</f>
        <v>1</v>
      </c>
      <c r="AD37" s="162">
        <f>ROUND((SQRT((((MAX(E35,F35))^2)+(K35^2)))),0)</f>
        <v>0</v>
      </c>
      <c r="AE37" s="163">
        <f>ROUND((SQRT((((MAX(G35,H35))^2)+(K35^2)))),0)</f>
        <v>1</v>
      </c>
      <c r="AF37" s="119">
        <f>LOOKUP(AB37,informatieblad!$C$27:$C$32,informatieblad!$A$27:$A$32)</f>
        <v>0.5</v>
      </c>
      <c r="AG37" s="118">
        <f>VLOOKUP(AF37,informatieblad!$A$27:$M$32,6,FALSE)</f>
        <v>0</v>
      </c>
      <c r="AH37" s="118">
        <f>VLOOKUP(AF37,informatieblad!$A$27:$M$32,8,FALSE)</f>
        <v>45.1248</v>
      </c>
      <c r="AI37" s="120">
        <f>VLOOKUP(AF37,informatieblad!$A$27:$M$32,13,FALSE)</f>
        <v>4</v>
      </c>
      <c r="AJ37" s="121" t="e">
        <f>ROUND((AI37*R37),1)</f>
        <v>#VALUE!</v>
      </c>
      <c r="AK37" s="64"/>
      <c r="AL37" s="64"/>
      <c r="AM37" s="64"/>
      <c r="AN37" s="64"/>
      <c r="AO37" s="83" t="str">
        <f>'UC mounting materials '!$B$11</f>
        <v>Rail 41x41</v>
      </c>
      <c r="AP37" s="268">
        <f>IF(AB37&gt;999,(AB37+100),0)*C37</f>
        <v>0</v>
      </c>
      <c r="AQ37" s="64"/>
      <c r="AR37" s="111">
        <f>IF(B36=informatieblad!$A$6,informatieblad!$B$6,IF(B36=informatieblad!$A$7,informatieblad!$B$7,IF(B36=informatieblad!$A$8,informatieblad!$B$8,IF(B36=informatieblad!$A$2,informatieblad!$B$2,IF(B36=informatieblad!$A$3,informatieblad!$B$3,IF(B36=informatieblad!$A$4,informatieblad!$B$4,IF(B36=informatieblad!$A$5,informatieblad!$B$5,"")))))))</f>
        <v>0</v>
      </c>
      <c r="AS37" s="276">
        <f>IF(AR37=AS35,(4*C37),0)</f>
        <v>0</v>
      </c>
      <c r="AT37" s="274">
        <f>IF(AR37=AT35,(4*C37),0)</f>
        <v>0</v>
      </c>
      <c r="AU37" s="64"/>
      <c r="AV37" s="64"/>
      <c r="AW37" s="64"/>
    </row>
    <row r="38" spans="1:49" ht="21.75" thickBot="1">
      <c r="A38" s="385"/>
      <c r="B38" s="122"/>
      <c r="C38" s="336"/>
      <c r="D38" s="122"/>
      <c r="E38" s="122"/>
      <c r="F38" s="122"/>
      <c r="M38" s="176"/>
      <c r="N38" s="176"/>
      <c r="O38" s="83"/>
      <c r="P38" s="142"/>
      <c r="Q38" s="83"/>
      <c r="R38" s="142"/>
      <c r="S38" s="142"/>
      <c r="T38" s="143"/>
      <c r="U38" s="143"/>
      <c r="V38" s="339"/>
      <c r="W38" s="339"/>
      <c r="X38" s="339"/>
      <c r="Y38" s="64"/>
      <c r="Z38" s="64"/>
      <c r="AA38" s="64"/>
      <c r="AB38" s="189"/>
      <c r="AC38" s="166"/>
      <c r="AD38" s="166"/>
      <c r="AE38" s="166"/>
      <c r="AF38" s="83"/>
      <c r="AG38" s="144"/>
      <c r="AH38" s="144"/>
      <c r="AI38" s="142"/>
      <c r="AJ38" s="142"/>
      <c r="AK38" s="64"/>
      <c r="AL38" s="64"/>
      <c r="AM38" s="64"/>
      <c r="AN38" s="64"/>
      <c r="AO38" s="83"/>
      <c r="AP38" s="83"/>
      <c r="AQ38" s="64"/>
      <c r="AR38" s="83"/>
      <c r="AS38" s="83"/>
      <c r="AT38" s="83"/>
      <c r="AU38" s="64"/>
      <c r="AV38" s="64"/>
      <c r="AW38" s="64"/>
    </row>
    <row r="39" spans="1:49" ht="15.75" thickBot="1">
      <c r="A39" s="78" t="s">
        <v>14</v>
      </c>
      <c r="B39" s="79" t="s">
        <v>15</v>
      </c>
      <c r="C39" s="79" t="s">
        <v>16</v>
      </c>
      <c r="D39" s="79" t="s">
        <v>102</v>
      </c>
      <c r="E39" s="79" t="s">
        <v>172</v>
      </c>
      <c r="F39" s="79" t="s">
        <v>188</v>
      </c>
      <c r="G39" s="79" t="s">
        <v>189</v>
      </c>
      <c r="H39" s="79" t="s">
        <v>190</v>
      </c>
      <c r="I39" s="79" t="s">
        <v>117</v>
      </c>
      <c r="J39" s="79" t="s">
        <v>118</v>
      </c>
      <c r="K39" s="125" t="s">
        <v>191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</row>
    <row r="40" spans="1:49">
      <c r="A40" s="454">
        <f>A35</f>
        <v>0</v>
      </c>
      <c r="B40" s="167" t="str">
        <f>IF($C37&gt;0,$B45-5,"")</f>
        <v/>
      </c>
      <c r="C40" s="167" t="str">
        <f>IF($C37&gt;0,$C45-5,"")</f>
        <v/>
      </c>
      <c r="D40" s="96"/>
      <c r="E40" s="96" t="str">
        <f>IF($C42&gt;0,(B40-D40)/2,"")</f>
        <v/>
      </c>
      <c r="F40" s="167" t="str">
        <f>IF($C42&gt;0,B40-D40-E40,"")</f>
        <v/>
      </c>
      <c r="G40" s="96">
        <v>1</v>
      </c>
      <c r="H40" s="167" t="str">
        <f>IF($C42&gt;0,C40-D40-G40,"")</f>
        <v/>
      </c>
      <c r="I40" s="300" t="str">
        <f>IF($C37&gt;0,$K$10,"")</f>
        <v/>
      </c>
      <c r="J40" s="300" t="str">
        <f>IF($C37&gt;0,$K$11,"")</f>
        <v/>
      </c>
      <c r="K40" s="178"/>
      <c r="M40" s="375"/>
      <c r="N40" s="375"/>
      <c r="O40" s="97" t="s">
        <v>14</v>
      </c>
      <c r="P40" s="98" t="s">
        <v>27</v>
      </c>
      <c r="Q40" s="98" t="s">
        <v>28</v>
      </c>
      <c r="R40" s="98" t="s">
        <v>27</v>
      </c>
      <c r="S40" s="98" t="s">
        <v>28</v>
      </c>
      <c r="T40" s="98" t="s">
        <v>29</v>
      </c>
      <c r="U40" s="66" t="s">
        <v>30</v>
      </c>
      <c r="V40" s="376" t="s">
        <v>31</v>
      </c>
      <c r="W40" s="153"/>
      <c r="X40" s="377"/>
      <c r="Y40" s="64"/>
      <c r="Z40" s="64"/>
      <c r="AA40" s="64"/>
      <c r="AB40" s="382" t="s">
        <v>83</v>
      </c>
      <c r="AC40" s="98" t="s">
        <v>84</v>
      </c>
      <c r="AD40" s="98" t="s">
        <v>89</v>
      </c>
      <c r="AE40" s="100" t="s">
        <v>90</v>
      </c>
      <c r="AF40" s="100" t="s">
        <v>34</v>
      </c>
      <c r="AG40" s="98" t="s">
        <v>32</v>
      </c>
      <c r="AH40" s="98" t="s">
        <v>32</v>
      </c>
      <c r="AI40" s="98" t="s">
        <v>49</v>
      </c>
      <c r="AJ40" s="101" t="s">
        <v>36</v>
      </c>
      <c r="AK40" s="64"/>
      <c r="AL40" s="64"/>
      <c r="AM40" s="64"/>
      <c r="AN40" s="64"/>
      <c r="AO40" s="64"/>
      <c r="AP40" s="266" t="s">
        <v>37</v>
      </c>
      <c r="AQ40" s="64"/>
      <c r="AR40" s="269" t="s">
        <v>38</v>
      </c>
      <c r="AS40" s="272">
        <f>informatieblad!$B$3</f>
        <v>0</v>
      </c>
      <c r="AT40" s="264">
        <f>informatieblad!$B$4</f>
        <v>0</v>
      </c>
      <c r="AU40" s="64"/>
      <c r="AV40" s="64"/>
      <c r="AW40" s="64"/>
    </row>
    <row r="41" spans="1:49">
      <c r="A41" s="507"/>
      <c r="B41" s="482" t="str">
        <f>B36</f>
        <v>none</v>
      </c>
      <c r="C41" s="483"/>
      <c r="D41" s="397"/>
      <c r="E41" s="174"/>
      <c r="F41" s="174"/>
      <c r="G41" s="174"/>
      <c r="H41" s="469" t="s">
        <v>82</v>
      </c>
      <c r="I41" s="470"/>
      <c r="J41" s="470"/>
      <c r="K41" s="191" t="str">
        <f>(IF($C42&gt;0,(IF(MAX((MAX(B40,C40)-D40)/2,(D40-MAX(B40,C40)))*1.732&gt;270,MAX((MAX(B40,C40)-D40)/2,(#REF!-MAX(B40,C40)))*1.732,270)),""))</f>
        <v/>
      </c>
      <c r="M41" s="83"/>
      <c r="N41" s="83"/>
      <c r="O41" s="103">
        <f>A40</f>
        <v>0</v>
      </c>
      <c r="P41" s="104" t="s">
        <v>39</v>
      </c>
      <c r="Q41" s="104" t="s">
        <v>39</v>
      </c>
      <c r="R41" s="104" t="s">
        <v>40</v>
      </c>
      <c r="S41" s="104" t="s">
        <v>40</v>
      </c>
      <c r="T41" s="104" t="s">
        <v>40</v>
      </c>
      <c r="U41" s="105"/>
      <c r="V41" s="378" t="s">
        <v>27</v>
      </c>
      <c r="W41" s="155" t="s">
        <v>40</v>
      </c>
      <c r="X41" s="379" t="s">
        <v>41</v>
      </c>
      <c r="Y41" s="64"/>
      <c r="Z41" s="64"/>
      <c r="AA41" s="64"/>
      <c r="AB41" s="383"/>
      <c r="AC41" s="64"/>
      <c r="AD41" s="136" t="s">
        <v>15</v>
      </c>
      <c r="AE41" s="136" t="s">
        <v>16</v>
      </c>
      <c r="AF41" s="107"/>
      <c r="AG41" s="104" t="s">
        <v>40</v>
      </c>
      <c r="AH41" s="104" t="s">
        <v>41</v>
      </c>
      <c r="AI41" s="108"/>
      <c r="AJ41" s="109"/>
      <c r="AK41" s="64"/>
      <c r="AL41" s="64"/>
      <c r="AM41" s="64"/>
      <c r="AN41" s="64"/>
      <c r="AO41" s="83" t="str">
        <f>'UC mounting materials '!$B$10</f>
        <v>Rail 30x15</v>
      </c>
      <c r="AP41" s="327">
        <f>IF(AB42&lt;1000,(AB42+100),0)*C42</f>
        <v>0</v>
      </c>
      <c r="AQ41" s="64"/>
      <c r="AR41" s="265" t="s">
        <v>47</v>
      </c>
      <c r="AS41" s="83" t="s">
        <v>23</v>
      </c>
      <c r="AT41" s="273" t="s">
        <v>23</v>
      </c>
      <c r="AU41" s="64"/>
      <c r="AV41" s="64"/>
      <c r="AW41" s="64"/>
    </row>
    <row r="42" spans="1:49" ht="15.75" thickBot="1">
      <c r="A42" s="508"/>
      <c r="B42" s="387" t="s">
        <v>23</v>
      </c>
      <c r="C42" s="95">
        <f>C37</f>
        <v>0</v>
      </c>
      <c r="D42" s="139"/>
      <c r="E42" s="94" t="str">
        <f>IF($C42&gt;0,C42*Q42,"")</f>
        <v/>
      </c>
      <c r="F42" s="141" t="s">
        <v>24</v>
      </c>
      <c r="G42" s="509"/>
      <c r="H42" s="510"/>
      <c r="I42" s="510"/>
      <c r="J42" s="510"/>
      <c r="K42" s="511"/>
      <c r="M42" s="176"/>
      <c r="N42" s="176"/>
      <c r="O42" s="111"/>
      <c r="P42" s="112" t="str">
        <f>IF($C42&gt;0,((2*(B40+C40))*AC42)/1000000,"")</f>
        <v/>
      </c>
      <c r="Q42" s="158" t="str">
        <f>((IF(P42&lt;=informatieblad!$I$15,informatieblad!$I$15,IF(P42&gt;=informatieblad!$I$15,P42))))</f>
        <v/>
      </c>
      <c r="R42" s="112" t="str">
        <f>IF($C42&gt;0,((2*(B40+C40))*AC42)/1000000,"")</f>
        <v/>
      </c>
      <c r="S42" s="112">
        <f>((IF(R42&lt;=informatieblad!$H$15,informatieblad!$H$15,IF(R42&gt;=informatieblad!$H$15,R42))))</f>
        <v>0</v>
      </c>
      <c r="T42" s="113" t="str">
        <f>IF($C42&gt;0,((S42*AG42)+(S42*W42))*C42,"")</f>
        <v/>
      </c>
      <c r="U42" s="114" t="str">
        <f>IF($C42&gt;0,((Q42*AH42)+(Q42*X42))*C42,"")</f>
        <v/>
      </c>
      <c r="V42" s="380">
        <f>G42</f>
        <v>0</v>
      </c>
      <c r="W42" s="115" t="str">
        <f>IF($C42&gt;0,VLOOKUP(G37,informatieblad!$A$37:$D$41,2,FALSE),"")</f>
        <v/>
      </c>
      <c r="X42" s="381">
        <f>VLOOKUP(G37,informatieblad!$A$37:$D$41,4,FALSE)</f>
        <v>0</v>
      </c>
      <c r="Y42" s="64"/>
      <c r="Z42" s="64"/>
      <c r="AA42" s="64"/>
      <c r="AB42" s="384">
        <f>(MAX(B40:C40))</f>
        <v>0</v>
      </c>
      <c r="AC42" s="161">
        <f>(MAX(AE42,AD42))+K29</f>
        <v>1</v>
      </c>
      <c r="AD42" s="162">
        <f>ROUND((SQRT((((MAX(E40,F40))^2)+(K40^2)))),0)</f>
        <v>0</v>
      </c>
      <c r="AE42" s="163">
        <f>ROUND((SQRT((((MAX(G40,H40))^2)+(K40^2)))),0)</f>
        <v>1</v>
      </c>
      <c r="AF42" s="119">
        <f>LOOKUP(AB42,informatieblad!$C$27:$C$32,informatieblad!$A$27:$A$32)</f>
        <v>0.5</v>
      </c>
      <c r="AG42" s="118">
        <f>VLOOKUP(AF42,informatieblad!$A$27:$M$32,6,FALSE)</f>
        <v>0</v>
      </c>
      <c r="AH42" s="118">
        <f>VLOOKUP(AF42,informatieblad!$A$27:$M$32,8,FALSE)</f>
        <v>45.1248</v>
      </c>
      <c r="AI42" s="120">
        <f>VLOOKUP(AF42,informatieblad!$A$27:$M$32,13,FALSE)</f>
        <v>4</v>
      </c>
      <c r="AJ42" s="121" t="e">
        <f>ROUND((AI42*R42),1)</f>
        <v>#VALUE!</v>
      </c>
      <c r="AK42" s="64"/>
      <c r="AL42" s="64"/>
      <c r="AM42" s="64"/>
      <c r="AN42" s="64"/>
      <c r="AO42" s="83" t="str">
        <f>'UC mounting materials '!$B$11</f>
        <v>Rail 41x41</v>
      </c>
      <c r="AP42" s="268">
        <f>IF(AB42&gt;999,(AB42+100),0)*C42</f>
        <v>0</v>
      </c>
      <c r="AQ42" s="64"/>
      <c r="AR42" s="111">
        <f>IF(B41=informatieblad!$A$6,informatieblad!$B$6,IF(B41=informatieblad!$A$7,informatieblad!$B$7,IF(B41=informatieblad!$A$8,informatieblad!$B$8,IF(B41=informatieblad!$A$2,informatieblad!$B$2,IF(B41=informatieblad!$A$3,informatieblad!$B$3,IF(B41=informatieblad!$A$4,informatieblad!$B$4,IF(B41=informatieblad!$A$5,informatieblad!$B$5,"")))))))</f>
        <v>0</v>
      </c>
      <c r="AS42" s="276">
        <f>IF(AR42=AS40,(4*C42),0)</f>
        <v>0</v>
      </c>
      <c r="AT42" s="274">
        <f>IF(AR42=AT40,(4*C42),0)</f>
        <v>0</v>
      </c>
      <c r="AU42" s="64"/>
      <c r="AV42" s="64"/>
      <c r="AW42" s="64"/>
    </row>
    <row r="43" spans="1:49" ht="21.75" thickBot="1">
      <c r="A43" s="386"/>
      <c r="B43" s="122"/>
      <c r="C43" s="336"/>
      <c r="D43" s="122"/>
      <c r="E43" s="122"/>
      <c r="F43" s="122"/>
      <c r="M43" s="176"/>
      <c r="N43" s="176"/>
      <c r="O43" s="83"/>
      <c r="P43" s="142"/>
      <c r="Q43" s="83"/>
      <c r="R43" s="142"/>
      <c r="S43" s="142"/>
      <c r="T43" s="143"/>
      <c r="U43" s="143"/>
      <c r="V43" s="339"/>
      <c r="W43" s="339"/>
      <c r="X43" s="339"/>
      <c r="Y43" s="64"/>
      <c r="Z43" s="64"/>
      <c r="AA43" s="64"/>
      <c r="AB43" s="189"/>
      <c r="AC43" s="166"/>
      <c r="AD43" s="166"/>
      <c r="AE43" s="166"/>
      <c r="AF43" s="83"/>
      <c r="AG43" s="144"/>
      <c r="AH43" s="144"/>
      <c r="AI43" s="142"/>
      <c r="AJ43" s="142"/>
      <c r="AK43" s="64"/>
      <c r="AL43" s="64"/>
      <c r="AM43" s="64"/>
      <c r="AN43" s="64"/>
      <c r="AO43" s="83"/>
      <c r="AP43" s="83"/>
      <c r="AQ43" s="64"/>
      <c r="AR43" s="83"/>
      <c r="AS43" s="83"/>
      <c r="AT43" s="83"/>
      <c r="AU43" s="64"/>
      <c r="AV43" s="64"/>
      <c r="AW43" s="64"/>
    </row>
    <row r="44" spans="1:49" ht="15.75" thickBot="1">
      <c r="A44" s="389" t="s">
        <v>14</v>
      </c>
      <c r="B44" s="390" t="s">
        <v>15</v>
      </c>
      <c r="C44" s="390" t="s">
        <v>16</v>
      </c>
      <c r="D44" s="84" t="s">
        <v>192</v>
      </c>
      <c r="E44" s="167"/>
      <c r="F44" s="167"/>
      <c r="G44" s="167"/>
      <c r="H44" s="167"/>
      <c r="I44" s="167"/>
      <c r="J44" s="167"/>
      <c r="K44" s="196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83"/>
      <c r="AL44" s="83"/>
      <c r="AM44" s="64"/>
      <c r="AN44" s="83"/>
      <c r="AO44" s="64"/>
      <c r="AP44" s="83"/>
      <c r="AQ44" s="64"/>
      <c r="AR44" s="83"/>
      <c r="AS44" s="83"/>
      <c r="AT44" s="83"/>
      <c r="AU44" s="83"/>
      <c r="AV44" s="83"/>
      <c r="AW44" s="83"/>
    </row>
    <row r="45" spans="1:49">
      <c r="A45" s="512">
        <f>A35</f>
        <v>0</v>
      </c>
      <c r="B45" s="388"/>
      <c r="C45" s="388"/>
      <c r="D45" s="388"/>
      <c r="E45" s="515"/>
      <c r="F45" s="516"/>
      <c r="G45" s="516"/>
      <c r="H45" s="517"/>
      <c r="I45" s="394"/>
      <c r="J45" s="394"/>
      <c r="K45" s="395"/>
      <c r="M45" s="64"/>
      <c r="N45" s="64"/>
      <c r="O45" s="97" t="s">
        <v>193</v>
      </c>
      <c r="P45" s="98" t="s">
        <v>27</v>
      </c>
      <c r="Q45" s="98" t="s">
        <v>28</v>
      </c>
      <c r="R45" s="98" t="s">
        <v>27</v>
      </c>
      <c r="S45" s="98" t="s">
        <v>28</v>
      </c>
      <c r="T45" s="98" t="s">
        <v>29</v>
      </c>
      <c r="U45" s="66" t="s">
        <v>30</v>
      </c>
      <c r="V45" s="99" t="s">
        <v>31</v>
      </c>
      <c r="W45" s="99"/>
      <c r="X45" s="99"/>
      <c r="Y45" s="98" t="s">
        <v>32</v>
      </c>
      <c r="Z45" s="98" t="s">
        <v>32</v>
      </c>
      <c r="AA45" s="98"/>
      <c r="AB45" s="98" t="s">
        <v>33</v>
      </c>
      <c r="AC45" s="100" t="s">
        <v>34</v>
      </c>
      <c r="AD45" s="98" t="s">
        <v>32</v>
      </c>
      <c r="AE45" s="98" t="s">
        <v>32</v>
      </c>
      <c r="AF45" s="98" t="s">
        <v>32</v>
      </c>
      <c r="AG45" s="98" t="s">
        <v>32</v>
      </c>
      <c r="AH45" s="98" t="s">
        <v>49</v>
      </c>
      <c r="AI45" s="101" t="s">
        <v>36</v>
      </c>
      <c r="AJ45" s="97" t="str">
        <f>informatieblad!$A$5</f>
        <v>none</v>
      </c>
      <c r="AK45" s="264"/>
      <c r="AL45" s="64"/>
      <c r="AM45" s="266" t="s">
        <v>17</v>
      </c>
      <c r="AN45" s="64"/>
      <c r="AO45" s="64"/>
      <c r="AP45" s="266" t="s">
        <v>37</v>
      </c>
      <c r="AQ45" s="64"/>
      <c r="AR45" s="269" t="s">
        <v>38</v>
      </c>
      <c r="AS45" s="272"/>
      <c r="AT45" s="272">
        <f>informatieblad!$B$3</f>
        <v>0</v>
      </c>
      <c r="AU45" s="272">
        <f>informatieblad!$B$3</f>
        <v>0</v>
      </c>
      <c r="AV45" s="272">
        <f>informatieblad!$B$4</f>
        <v>0</v>
      </c>
      <c r="AW45" s="264">
        <f>informatieblad!$B$4</f>
        <v>0</v>
      </c>
    </row>
    <row r="46" spans="1:49">
      <c r="A46" s="513"/>
      <c r="B46" s="102" t="str">
        <f>B36</f>
        <v>none</v>
      </c>
      <c r="C46" s="102" t="str">
        <f>B36</f>
        <v>none</v>
      </c>
      <c r="D46" s="369"/>
      <c r="E46" s="394"/>
      <c r="F46" s="370"/>
      <c r="G46" s="370"/>
      <c r="H46" s="393"/>
      <c r="I46" s="396"/>
      <c r="J46" s="394"/>
      <c r="K46" s="395"/>
      <c r="M46" s="64"/>
      <c r="N46" s="64"/>
      <c r="O46" s="103">
        <f>A45</f>
        <v>0</v>
      </c>
      <c r="P46" s="104" t="s">
        <v>39</v>
      </c>
      <c r="Q46" s="104" t="s">
        <v>39</v>
      </c>
      <c r="R46" s="104" t="s">
        <v>40</v>
      </c>
      <c r="S46" s="104" t="s">
        <v>40</v>
      </c>
      <c r="T46" s="104" t="s">
        <v>40</v>
      </c>
      <c r="U46" s="105"/>
      <c r="V46" s="106" t="s">
        <v>27</v>
      </c>
      <c r="W46" s="106" t="s">
        <v>40</v>
      </c>
      <c r="X46" s="106" t="s">
        <v>41</v>
      </c>
      <c r="Y46" s="104" t="s">
        <v>42</v>
      </c>
      <c r="Z46" s="104" t="s">
        <v>43</v>
      </c>
      <c r="AA46" s="104"/>
      <c r="AB46" s="104" t="s">
        <v>44</v>
      </c>
      <c r="AC46" s="107"/>
      <c r="AD46" s="104" t="s">
        <v>45</v>
      </c>
      <c r="AE46" s="104" t="s">
        <v>42</v>
      </c>
      <c r="AF46" s="104" t="s">
        <v>43</v>
      </c>
      <c r="AG46" s="104" t="s">
        <v>46</v>
      </c>
      <c r="AH46" s="108"/>
      <c r="AI46" s="109"/>
      <c r="AJ46" s="265"/>
      <c r="AK46" s="105"/>
      <c r="AL46" s="64"/>
      <c r="AM46" s="267"/>
      <c r="AN46" s="64"/>
      <c r="AO46" s="83" t="str">
        <f>'UC mounting materials '!$B$10</f>
        <v>Rail 30x15</v>
      </c>
      <c r="AP46" s="327">
        <f>IF(AB47&lt;1000,(AB47+100),0)*C47</f>
        <v>0</v>
      </c>
      <c r="AQ46" s="64"/>
      <c r="AR46" s="265" t="s">
        <v>47</v>
      </c>
      <c r="AS46" s="106" t="s">
        <v>48</v>
      </c>
      <c r="AT46" s="83" t="s">
        <v>23</v>
      </c>
      <c r="AU46" s="83" t="s">
        <v>23</v>
      </c>
      <c r="AV46" s="83" t="s">
        <v>23</v>
      </c>
      <c r="AW46" s="273" t="s">
        <v>23</v>
      </c>
    </row>
    <row r="47" spans="1:49" ht="15.75" thickBot="1">
      <c r="A47" s="514"/>
      <c r="B47" s="373" t="s">
        <v>23</v>
      </c>
      <c r="C47" s="373">
        <f>C37</f>
        <v>0</v>
      </c>
      <c r="D47" s="372">
        <f>C47*Q47</f>
        <v>0</v>
      </c>
      <c r="E47" s="391">
        <f>C42*O42</f>
        <v>0</v>
      </c>
      <c r="F47" s="392" t="s">
        <v>24</v>
      </c>
      <c r="G47" s="509"/>
      <c r="H47" s="510"/>
      <c r="I47" s="510"/>
      <c r="J47" s="510"/>
      <c r="K47" s="511"/>
      <c r="M47" s="64"/>
      <c r="N47" s="64"/>
      <c r="O47" s="111"/>
      <c r="P47" s="112">
        <f>(((2*(B45+C45))*D45)/1000000)</f>
        <v>0</v>
      </c>
      <c r="Q47" s="112">
        <f>((IF(P47&lt;=informatieblad!$I$12,informatieblad!$I$12,IF(P47&gt;=informatieblad!$I$12,P47))))</f>
        <v>0.5</v>
      </c>
      <c r="R47" s="112">
        <f>(((2*B45)+(2*C45))*D45)/1000000</f>
        <v>0</v>
      </c>
      <c r="S47" s="112">
        <f>((IF(R47&lt;=informatieblad!$H$12,informatieblad!$H$12,IF(R47&gt;=informatieblad!$H$12,R47))))</f>
        <v>0</v>
      </c>
      <c r="T47" s="113">
        <f>IF($C37&gt;0,(S47*Z47)+(S47*W47))*C47</f>
        <v>0</v>
      </c>
      <c r="U47" s="114">
        <f>IF($C37&gt;0,(Q47*Y47)+(Q47*X47))*C47</f>
        <v>0</v>
      </c>
      <c r="V47" s="115">
        <f>I47</f>
        <v>0</v>
      </c>
      <c r="W47" s="116" t="e">
        <f>VLOOKUP(G47,informatieblad!$A$37:$D$41,2,FALSE)</f>
        <v>#N/A</v>
      </c>
      <c r="X47" s="116" t="e">
        <f>VLOOKUP(G47,informatieblad!$A$37:$D$41,4,FALSE)</f>
        <v>#N/A</v>
      </c>
      <c r="Y47" s="117">
        <f>((IF(D45&lt;=900,AE47,IF(D45&gt;=900,AG47))))</f>
        <v>45.1248</v>
      </c>
      <c r="Z47" s="118">
        <f>((IF(D45&lt;=900,AD47,IF(D45&gt;=900,AF47))))</f>
        <v>0</v>
      </c>
      <c r="AA47" s="119"/>
      <c r="AB47" s="119">
        <f>(MAX(B45:C45))</f>
        <v>0</v>
      </c>
      <c r="AC47" s="119">
        <f>LOOKUP(AB47,informatieblad!$C$27:$C$32,informatieblad!$A$27:$A$32)</f>
        <v>0.5</v>
      </c>
      <c r="AD47" s="118">
        <f>VLOOKUP(AC47,informatieblad!$A$27:$M$32,6,FALSE)</f>
        <v>0</v>
      </c>
      <c r="AE47" s="118">
        <f>VLOOKUP(AC47,informatieblad!$A$27:$M$32,8,FALSE)</f>
        <v>45.1248</v>
      </c>
      <c r="AF47" s="118">
        <f>VLOOKUP(AC47,informatieblad!$A$27:$M$32,9,FALSE)</f>
        <v>0</v>
      </c>
      <c r="AG47" s="118">
        <f>VLOOKUP(AC47,informatieblad!$A$27:$M$32,11,FALSE)</f>
        <v>32.463200000000001</v>
      </c>
      <c r="AH47" s="120">
        <f>VLOOKUP(AC47,informatieblad!$A$27:$M$32,13,FALSE)</f>
        <v>4</v>
      </c>
      <c r="AI47" s="121">
        <f>ROUND((AH47*R47),1)</f>
        <v>0</v>
      </c>
      <c r="AJ47" s="111">
        <f>(IF(B46=AJ45,((2*B45)+(2*C45)),0))*C47</f>
        <v>0</v>
      </c>
      <c r="AK47" s="260">
        <f>(IF(C46=AJ45,((2*B45)+(2*C45)),0))*C47</f>
        <v>0</v>
      </c>
      <c r="AL47" s="64"/>
      <c r="AM47" s="268">
        <f>D45*C47</f>
        <v>0</v>
      </c>
      <c r="AN47" s="64"/>
      <c r="AO47" s="83" t="str">
        <f>'UC mounting materials '!$B$11</f>
        <v>Rail 41x41</v>
      </c>
      <c r="AP47" s="268">
        <f>IF(AB47&gt;999,(AB47+100),0)*C47</f>
        <v>0</v>
      </c>
      <c r="AQ47" s="64"/>
      <c r="AR47" s="111">
        <f>IF(B46=informatieblad!$A$6,informatieblad!$B$6,IF(B46=informatieblad!$A$7,informatieblad!$B$7,IF(B46=informatieblad!$A$8,informatieblad!$B$8,IF(B46=informatieblad!$A$2,informatieblad!$B$2,IF(B46=informatieblad!$A$3,informatieblad!$B$3,IF(B46=informatieblad!$A$4,informatieblad!$B$4,IF(B46=informatieblad!$A$5,informatieblad!$B$5,"")))))))</f>
        <v>0</v>
      </c>
      <c r="AS47" s="275">
        <f>IF(C46=informatieblad!$A$6,informatieblad!$B$6,IF(C46=informatieblad!$A$7,informatieblad!$B$7,IF(C46=informatieblad!$A$8,informatieblad!$B$8,IF(C46=informatieblad!$A$2,informatieblad!$B$2,IF(C46=informatieblad!$A$3,informatieblad!$B$3,IF(C46=informatieblad!$A$4,informatieblad!$B$4,IF(C46=informatieblad!$A$5,informatieblad!$B$5,"")))))))</f>
        <v>0</v>
      </c>
      <c r="AT47" s="276">
        <f>IF(AR47=AT45,(4*C47),0)</f>
        <v>0</v>
      </c>
      <c r="AU47" s="276">
        <f>IF(AS47=AT45,(4*C47),0)</f>
        <v>0</v>
      </c>
      <c r="AV47" s="276">
        <f>IF(AR47=AV45,(4*C47),0)</f>
        <v>0</v>
      </c>
      <c r="AW47" s="274">
        <f>IF(AS47=AV45,(4*C47),0)</f>
        <v>0</v>
      </c>
    </row>
    <row r="48" spans="1:49" ht="15.75" thickBot="1">
      <c r="A48" s="122"/>
      <c r="B48" s="122"/>
      <c r="C48" s="122"/>
      <c r="D48" s="122"/>
      <c r="E48" s="122"/>
      <c r="F48" s="122"/>
      <c r="G48" s="122"/>
      <c r="H48" s="122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83"/>
      <c r="AL48" s="83"/>
      <c r="AM48" s="64"/>
      <c r="AN48" s="83"/>
      <c r="AO48" s="64"/>
      <c r="AP48" s="83"/>
      <c r="AQ48" s="83"/>
      <c r="AR48" s="64"/>
      <c r="AS48" s="83"/>
      <c r="AT48" s="83"/>
      <c r="AU48" s="83"/>
      <c r="AV48" s="83"/>
      <c r="AW48" s="83"/>
    </row>
    <row r="49" spans="1:49">
      <c r="O49" s="97" t="s">
        <v>193</v>
      </c>
      <c r="P49" s="98" t="s">
        <v>27</v>
      </c>
      <c r="Q49" s="98" t="s">
        <v>28</v>
      </c>
      <c r="R49" s="98" t="s">
        <v>27</v>
      </c>
      <c r="S49" s="98" t="s">
        <v>28</v>
      </c>
      <c r="T49" s="98" t="s">
        <v>29</v>
      </c>
      <c r="U49" s="66" t="s">
        <v>30</v>
      </c>
    </row>
    <row r="50" spans="1:49">
      <c r="O50" s="103">
        <f>A35</f>
        <v>0</v>
      </c>
      <c r="P50" s="104" t="s">
        <v>39</v>
      </c>
      <c r="Q50" s="104" t="s">
        <v>39</v>
      </c>
      <c r="R50" s="104" t="s">
        <v>40</v>
      </c>
      <c r="S50" s="104" t="s">
        <v>40</v>
      </c>
      <c r="T50" s="104" t="s">
        <v>40</v>
      </c>
      <c r="U50" s="105"/>
    </row>
    <row r="51" spans="1:49" ht="15.75" thickBot="1">
      <c r="O51" s="111"/>
      <c r="P51" s="112">
        <f t="shared" ref="P51:U51" si="1">SUM(P37,P42,P47)</f>
        <v>0</v>
      </c>
      <c r="Q51" s="112">
        <f t="shared" si="1"/>
        <v>0.5</v>
      </c>
      <c r="R51" s="112">
        <f t="shared" si="1"/>
        <v>0</v>
      </c>
      <c r="S51" s="112">
        <f t="shared" si="1"/>
        <v>0</v>
      </c>
      <c r="T51" s="113">
        <f t="shared" si="1"/>
        <v>0</v>
      </c>
      <c r="U51" s="114">
        <f t="shared" si="1"/>
        <v>0</v>
      </c>
    </row>
    <row r="52" spans="1:49" ht="15.75" thickBot="1">
      <c r="A52" s="403"/>
      <c r="B52" s="404"/>
      <c r="C52" s="404"/>
      <c r="D52" s="404"/>
      <c r="E52" s="404"/>
      <c r="F52" s="404"/>
      <c r="G52" s="404"/>
      <c r="H52" s="404"/>
      <c r="I52" s="404"/>
      <c r="J52" s="404"/>
    </row>
    <row r="53" spans="1:49" ht="15.75" thickBot="1">
      <c r="A53" s="78" t="s">
        <v>14</v>
      </c>
      <c r="B53" s="79" t="s">
        <v>15</v>
      </c>
      <c r="C53" s="79" t="s">
        <v>16</v>
      </c>
      <c r="D53" s="79" t="s">
        <v>101</v>
      </c>
      <c r="E53" s="79" t="s">
        <v>183</v>
      </c>
      <c r="F53" s="79" t="s">
        <v>184</v>
      </c>
      <c r="G53" s="79" t="s">
        <v>185</v>
      </c>
      <c r="H53" s="79" t="s">
        <v>186</v>
      </c>
      <c r="I53" s="79" t="s">
        <v>117</v>
      </c>
      <c r="J53" s="79" t="s">
        <v>118</v>
      </c>
      <c r="K53" s="125" t="s">
        <v>187</v>
      </c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</row>
    <row r="54" spans="1:49" ht="15.75" thickBot="1">
      <c r="A54" s="445"/>
      <c r="B54" s="167" t="str">
        <f>IF($C56&gt;0,$B64-5,"")</f>
        <v/>
      </c>
      <c r="C54" s="167" t="str">
        <f>IF($C56&gt;0,$C64-5,"")</f>
        <v/>
      </c>
      <c r="D54" s="96"/>
      <c r="E54" s="96" t="str">
        <f>IF($C56&gt;0,(B54-D54)/2,"")</f>
        <v/>
      </c>
      <c r="F54" s="167" t="str">
        <f>IF($C56&gt;0,B54-D54-E54,"")</f>
        <v/>
      </c>
      <c r="G54" s="96">
        <v>1</v>
      </c>
      <c r="H54" s="167" t="str">
        <f>IF($C56&gt;0,C54-D54-G54,"")</f>
        <v/>
      </c>
      <c r="I54" s="300" t="str">
        <f>IF($C56&gt;0,$K$10,"")</f>
        <v/>
      </c>
      <c r="J54" s="300" t="str">
        <f>IF($C56&gt;0,$K$11,"")</f>
        <v/>
      </c>
      <c r="K54" s="178"/>
      <c r="L54" s="345" t="s">
        <v>20</v>
      </c>
      <c r="M54" s="375"/>
      <c r="N54" s="375"/>
      <c r="O54" s="97" t="s">
        <v>14</v>
      </c>
      <c r="P54" s="98" t="s">
        <v>27</v>
      </c>
      <c r="Q54" s="98" t="s">
        <v>28</v>
      </c>
      <c r="R54" s="98" t="s">
        <v>27</v>
      </c>
      <c r="S54" s="98" t="s">
        <v>28</v>
      </c>
      <c r="T54" s="98" t="s">
        <v>29</v>
      </c>
      <c r="U54" s="66" t="s">
        <v>30</v>
      </c>
      <c r="V54" s="376" t="s">
        <v>31</v>
      </c>
      <c r="W54" s="153"/>
      <c r="X54" s="377"/>
      <c r="Y54" s="64"/>
      <c r="Z54" s="64"/>
      <c r="AA54" s="64"/>
      <c r="AB54" s="382" t="s">
        <v>83</v>
      </c>
      <c r="AC54" s="98" t="s">
        <v>84</v>
      </c>
      <c r="AD54" s="98" t="s">
        <v>89</v>
      </c>
      <c r="AE54" s="100" t="s">
        <v>90</v>
      </c>
      <c r="AF54" s="100" t="s">
        <v>34</v>
      </c>
      <c r="AG54" s="98" t="s">
        <v>32</v>
      </c>
      <c r="AH54" s="98" t="s">
        <v>32</v>
      </c>
      <c r="AI54" s="98" t="s">
        <v>49</v>
      </c>
      <c r="AJ54" s="101" t="s">
        <v>36</v>
      </c>
      <c r="AK54" s="64"/>
      <c r="AL54" s="64"/>
      <c r="AM54" s="64"/>
      <c r="AN54" s="64"/>
      <c r="AO54" s="64"/>
      <c r="AP54" s="266" t="s">
        <v>37</v>
      </c>
      <c r="AQ54" s="64"/>
      <c r="AR54" s="269" t="s">
        <v>38</v>
      </c>
      <c r="AS54" s="272">
        <f>informatieblad!$B$3</f>
        <v>0</v>
      </c>
      <c r="AT54" s="264">
        <f>informatieblad!$B$4</f>
        <v>0</v>
      </c>
      <c r="AU54" s="64"/>
      <c r="AV54" s="64"/>
      <c r="AW54" s="64"/>
    </row>
    <row r="55" spans="1:49">
      <c r="A55" s="481"/>
      <c r="B55" s="482" t="str">
        <f>informatieblad!A5</f>
        <v>none</v>
      </c>
      <c r="C55" s="483"/>
      <c r="D55" s="397" t="str">
        <f>A54&amp;"-"&amp;informatieblad!$B$22&amp;"-"&amp;B64&amp;"-"&amp;C64&amp;"-"&amp;D64&amp;"-"&amp;K54&amp;"-"&amp;K59&amp;"-"&amp;D54&amp;"-"&amp;D59&amp;"-"&amp;B55&amp;"-"&amp;G56</f>
        <v>-RctK--------none-Options None</v>
      </c>
      <c r="E55" s="174"/>
      <c r="F55" s="174"/>
      <c r="G55" s="174"/>
      <c r="H55" s="469" t="s">
        <v>82</v>
      </c>
      <c r="I55" s="470"/>
      <c r="J55" s="470"/>
      <c r="K55" s="191" t="str">
        <f>(IF($C56&gt;0,(IF(MAX((MAX(B54,C54)-D54)/2,(D54-MAX(B54,C54)))*1.732&gt;270,MAX((MAX(B54,C54)-D54)/2,(#REF!-MAX(B54,C54)))*1.732,270)),""))</f>
        <v/>
      </c>
      <c r="L55" s="83"/>
      <c r="M55" s="83"/>
      <c r="N55" s="83"/>
      <c r="O55" s="103">
        <f>A54</f>
        <v>0</v>
      </c>
      <c r="P55" s="104" t="s">
        <v>39</v>
      </c>
      <c r="Q55" s="104" t="s">
        <v>39</v>
      </c>
      <c r="R55" s="104" t="s">
        <v>40</v>
      </c>
      <c r="S55" s="104" t="s">
        <v>40</v>
      </c>
      <c r="T55" s="104" t="s">
        <v>40</v>
      </c>
      <c r="U55" s="105"/>
      <c r="V55" s="378" t="s">
        <v>27</v>
      </c>
      <c r="W55" s="155" t="s">
        <v>40</v>
      </c>
      <c r="X55" s="379" t="s">
        <v>41</v>
      </c>
      <c r="Y55" s="64"/>
      <c r="Z55" s="64"/>
      <c r="AA55" s="64"/>
      <c r="AB55" s="383"/>
      <c r="AC55" s="64"/>
      <c r="AD55" s="136" t="s">
        <v>15</v>
      </c>
      <c r="AE55" s="136" t="s">
        <v>16</v>
      </c>
      <c r="AF55" s="107"/>
      <c r="AG55" s="104" t="s">
        <v>40</v>
      </c>
      <c r="AH55" s="104" t="s">
        <v>41</v>
      </c>
      <c r="AI55" s="108"/>
      <c r="AJ55" s="109"/>
      <c r="AK55" s="64"/>
      <c r="AL55" s="64"/>
      <c r="AM55" s="64"/>
      <c r="AN55" s="64"/>
      <c r="AO55" s="83" t="str">
        <f>'UC mounting materials '!$B$10</f>
        <v>Rail 30x15</v>
      </c>
      <c r="AP55" s="327">
        <f>IF(AB56&lt;1000,(AB56+100),0)*C56</f>
        <v>0</v>
      </c>
      <c r="AQ55" s="64"/>
      <c r="AR55" s="265" t="s">
        <v>47</v>
      </c>
      <c r="AS55" s="83" t="s">
        <v>23</v>
      </c>
      <c r="AT55" s="273" t="s">
        <v>23</v>
      </c>
      <c r="AU55" s="64"/>
      <c r="AV55" s="64"/>
      <c r="AW55" s="64"/>
    </row>
    <row r="56" spans="1:49" ht="15.75" thickBot="1">
      <c r="A56" s="476"/>
      <c r="B56" s="186" t="s">
        <v>23</v>
      </c>
      <c r="C56" s="110"/>
      <c r="D56" s="139"/>
      <c r="E56" s="94" t="str">
        <f>IF($C56&gt;0,C56*Q56,"")</f>
        <v/>
      </c>
      <c r="F56" s="141" t="s">
        <v>24</v>
      </c>
      <c r="G56" s="451" t="s">
        <v>25</v>
      </c>
      <c r="H56" s="484"/>
      <c r="I56" s="484"/>
      <c r="J56" s="484"/>
      <c r="K56" s="485"/>
      <c r="L56" s="176"/>
      <c r="M56" s="176"/>
      <c r="N56" s="176"/>
      <c r="O56" s="111"/>
      <c r="P56" s="112" t="str">
        <f>IF($C56&gt;0,((2*(B54+C54))*AC56)/1000000,"")</f>
        <v/>
      </c>
      <c r="Q56" s="158" t="str">
        <f>((IF(P56&lt;=informatieblad!$I$15,informatieblad!$I$15,IF(P56&gt;=informatieblad!$I$15,P56))))</f>
        <v/>
      </c>
      <c r="R56" s="112" t="str">
        <f>IF($C56&gt;0,((2*(B54+C54))*AC56)/1000000,"")</f>
        <v/>
      </c>
      <c r="S56" s="112">
        <f>((IF(R56&lt;=informatieblad!$H$15,informatieblad!$H$15,IF(R56&gt;=informatieblad!$H$15,R56))))</f>
        <v>0</v>
      </c>
      <c r="T56" s="113" t="str">
        <f>IF($C56&gt;0,((S56*AG56)+(S56*W56))*C56,"")</f>
        <v/>
      </c>
      <c r="U56" s="114" t="str">
        <f>IF($C56&gt;0,((Q56*AH56)+(Q56*X56))*C56,"")</f>
        <v/>
      </c>
      <c r="V56" s="380" t="str">
        <f>G56</f>
        <v>Options None</v>
      </c>
      <c r="W56" s="115" t="str">
        <f>IF($C56&gt;0,VLOOKUP(G56,informatieblad!$A$37:$D$41,2,FALSE),"")</f>
        <v/>
      </c>
      <c r="X56" s="381">
        <f>VLOOKUP(G56,informatieblad!$A$37:$D$41,4,FALSE)</f>
        <v>0</v>
      </c>
      <c r="Y56" s="64"/>
      <c r="Z56" s="64"/>
      <c r="AA56" s="64"/>
      <c r="AB56" s="384">
        <f>(MAX(B54:C54))</f>
        <v>0</v>
      </c>
      <c r="AC56" s="161">
        <f>(MAX(AE56,AD56))+K48</f>
        <v>1</v>
      </c>
      <c r="AD56" s="162">
        <f>ROUND((SQRT((((MAX(E54,F54))^2)+(K54^2)))),0)</f>
        <v>0</v>
      </c>
      <c r="AE56" s="163">
        <f>ROUND((SQRT((((MAX(G54,H54))^2)+(K54^2)))),0)</f>
        <v>1</v>
      </c>
      <c r="AF56" s="119">
        <f>LOOKUP(AB56,informatieblad!$C$27:$C$32,informatieblad!$A$27:$A$32)</f>
        <v>0.5</v>
      </c>
      <c r="AG56" s="118">
        <f>VLOOKUP(AF56,informatieblad!$A$27:$M$32,6,FALSE)</f>
        <v>0</v>
      </c>
      <c r="AH56" s="118">
        <f>VLOOKUP(AF56,informatieblad!$A$27:$M$32,8,FALSE)</f>
        <v>45.1248</v>
      </c>
      <c r="AI56" s="120">
        <f>VLOOKUP(AF56,informatieblad!$A$27:$M$32,13,FALSE)</f>
        <v>4</v>
      </c>
      <c r="AJ56" s="121" t="e">
        <f>ROUND((AI56*R56),1)</f>
        <v>#VALUE!</v>
      </c>
      <c r="AK56" s="64"/>
      <c r="AL56" s="64"/>
      <c r="AM56" s="64"/>
      <c r="AN56" s="64"/>
      <c r="AO56" s="83" t="str">
        <f>'UC mounting materials '!$B$11</f>
        <v>Rail 41x41</v>
      </c>
      <c r="AP56" s="268">
        <f>IF(AB56&gt;999,(AB56+100),0)*C56</f>
        <v>0</v>
      </c>
      <c r="AQ56" s="64"/>
      <c r="AR56" s="111">
        <f>IF(B55=informatieblad!$A$6,informatieblad!$B$6,IF(B55=informatieblad!$A$7,informatieblad!$B$7,IF(B55=informatieblad!$A$8,informatieblad!$B$8,IF(B55=informatieblad!$A$2,informatieblad!$B$2,IF(B55=informatieblad!$A$3,informatieblad!$B$3,IF(B55=informatieblad!$A$4,informatieblad!$B$4,IF(B55=informatieblad!$A$5,informatieblad!$B$5,"")))))))</f>
        <v>0</v>
      </c>
      <c r="AS56" s="276">
        <f>IF(AR56=AS54,(4*C56),0)</f>
        <v>0</v>
      </c>
      <c r="AT56" s="274">
        <f>IF(AR56=AT54,(4*C56),0)</f>
        <v>0</v>
      </c>
      <c r="AU56" s="64"/>
      <c r="AV56" s="64"/>
      <c r="AW56" s="64"/>
    </row>
    <row r="57" spans="1:49" ht="21.75" thickBot="1">
      <c r="A57" s="385"/>
      <c r="B57" s="122"/>
      <c r="C57" s="336"/>
      <c r="D57" s="122"/>
      <c r="E57" s="122"/>
      <c r="F57" s="122"/>
      <c r="M57" s="176"/>
      <c r="N57" s="176"/>
      <c r="O57" s="83"/>
      <c r="P57" s="142"/>
      <c r="Q57" s="83"/>
      <c r="R57" s="142"/>
      <c r="S57" s="142"/>
      <c r="T57" s="143"/>
      <c r="U57" s="143"/>
      <c r="V57" s="339"/>
      <c r="W57" s="339"/>
      <c r="X57" s="339"/>
      <c r="Y57" s="64"/>
      <c r="Z57" s="64"/>
      <c r="AA57" s="64"/>
      <c r="AB57" s="189"/>
      <c r="AC57" s="166"/>
      <c r="AD57" s="166"/>
      <c r="AE57" s="166"/>
      <c r="AF57" s="83"/>
      <c r="AG57" s="144"/>
      <c r="AH57" s="144"/>
      <c r="AI57" s="142"/>
      <c r="AJ57" s="142"/>
      <c r="AK57" s="64"/>
      <c r="AL57" s="64"/>
      <c r="AM57" s="64"/>
      <c r="AN57" s="64"/>
      <c r="AO57" s="83"/>
      <c r="AP57" s="83"/>
      <c r="AQ57" s="64"/>
      <c r="AR57" s="83"/>
      <c r="AS57" s="83"/>
      <c r="AT57" s="83"/>
      <c r="AU57" s="64"/>
      <c r="AV57" s="64"/>
      <c r="AW57" s="64"/>
    </row>
    <row r="58" spans="1:49" ht="15.75" thickBot="1">
      <c r="A58" s="78" t="s">
        <v>14</v>
      </c>
      <c r="B58" s="79" t="s">
        <v>15</v>
      </c>
      <c r="C58" s="79" t="s">
        <v>16</v>
      </c>
      <c r="D58" s="79" t="s">
        <v>102</v>
      </c>
      <c r="E58" s="79" t="s">
        <v>172</v>
      </c>
      <c r="F58" s="79" t="s">
        <v>188</v>
      </c>
      <c r="G58" s="79" t="s">
        <v>189</v>
      </c>
      <c r="H58" s="79" t="s">
        <v>190</v>
      </c>
      <c r="I58" s="79" t="s">
        <v>117</v>
      </c>
      <c r="J58" s="79" t="s">
        <v>118</v>
      </c>
      <c r="K58" s="125" t="s">
        <v>191</v>
      </c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</row>
    <row r="59" spans="1:49">
      <c r="A59" s="454">
        <f>A54</f>
        <v>0</v>
      </c>
      <c r="B59" s="167" t="str">
        <f>IF($C56&gt;0,$B64-5,"")</f>
        <v/>
      </c>
      <c r="C59" s="167" t="str">
        <f>IF($C56&gt;0,$C64-5,"")</f>
        <v/>
      </c>
      <c r="D59" s="96"/>
      <c r="E59" s="96" t="str">
        <f>IF($C61&gt;0,(B59-D59)/2,"")</f>
        <v/>
      </c>
      <c r="F59" s="167" t="str">
        <f>IF($C61&gt;0,B59-D59-E59,"")</f>
        <v/>
      </c>
      <c r="G59" s="96">
        <v>1</v>
      </c>
      <c r="H59" s="167" t="str">
        <f>IF($C61&gt;0,C59-D59-G59,"")</f>
        <v/>
      </c>
      <c r="I59" s="300" t="str">
        <f>IF($C56&gt;0,$K$10,"")</f>
        <v/>
      </c>
      <c r="J59" s="300" t="str">
        <f>IF($C56&gt;0,$K$11,"")</f>
        <v/>
      </c>
      <c r="K59" s="178"/>
      <c r="M59" s="375"/>
      <c r="N59" s="375"/>
      <c r="O59" s="97" t="s">
        <v>14</v>
      </c>
      <c r="P59" s="98" t="s">
        <v>27</v>
      </c>
      <c r="Q59" s="98" t="s">
        <v>28</v>
      </c>
      <c r="R59" s="98" t="s">
        <v>27</v>
      </c>
      <c r="S59" s="98" t="s">
        <v>28</v>
      </c>
      <c r="T59" s="98" t="s">
        <v>29</v>
      </c>
      <c r="U59" s="66" t="s">
        <v>30</v>
      </c>
      <c r="V59" s="376" t="s">
        <v>31</v>
      </c>
      <c r="W59" s="153"/>
      <c r="X59" s="377"/>
      <c r="Y59" s="64"/>
      <c r="Z59" s="64"/>
      <c r="AA59" s="64"/>
      <c r="AB59" s="382" t="s">
        <v>83</v>
      </c>
      <c r="AC59" s="98" t="s">
        <v>84</v>
      </c>
      <c r="AD59" s="98" t="s">
        <v>89</v>
      </c>
      <c r="AE59" s="100" t="s">
        <v>90</v>
      </c>
      <c r="AF59" s="100" t="s">
        <v>34</v>
      </c>
      <c r="AG59" s="98" t="s">
        <v>32</v>
      </c>
      <c r="AH59" s="98" t="s">
        <v>32</v>
      </c>
      <c r="AI59" s="98" t="s">
        <v>49</v>
      </c>
      <c r="AJ59" s="101" t="s">
        <v>36</v>
      </c>
      <c r="AK59" s="64"/>
      <c r="AL59" s="64"/>
      <c r="AM59" s="64"/>
      <c r="AN59" s="64"/>
      <c r="AO59" s="64"/>
      <c r="AP59" s="266" t="s">
        <v>37</v>
      </c>
      <c r="AQ59" s="64"/>
      <c r="AR59" s="269" t="s">
        <v>38</v>
      </c>
      <c r="AS59" s="272">
        <f>informatieblad!$B$3</f>
        <v>0</v>
      </c>
      <c r="AT59" s="264">
        <f>informatieblad!$B$4</f>
        <v>0</v>
      </c>
      <c r="AU59" s="64"/>
      <c r="AV59" s="64"/>
      <c r="AW59" s="64"/>
    </row>
    <row r="60" spans="1:49">
      <c r="A60" s="507"/>
      <c r="B60" s="482" t="str">
        <f>B55</f>
        <v>none</v>
      </c>
      <c r="C60" s="483"/>
      <c r="D60" s="397"/>
      <c r="E60" s="174"/>
      <c r="F60" s="174"/>
      <c r="G60" s="174"/>
      <c r="H60" s="469" t="s">
        <v>82</v>
      </c>
      <c r="I60" s="470"/>
      <c r="J60" s="470"/>
      <c r="K60" s="191" t="str">
        <f>(IF($C61&gt;0,(IF(MAX((MAX(B59,C59)-D59)/2,(D59-MAX(B59,C59)))*1.732&gt;270,MAX((MAX(B59,C59)-D59)/2,(#REF!-MAX(B59,C59)))*1.732,270)),""))</f>
        <v/>
      </c>
      <c r="M60" s="83"/>
      <c r="N60" s="83"/>
      <c r="O60" s="103">
        <f>A59</f>
        <v>0</v>
      </c>
      <c r="P60" s="104" t="s">
        <v>39</v>
      </c>
      <c r="Q60" s="104" t="s">
        <v>39</v>
      </c>
      <c r="R60" s="104" t="s">
        <v>40</v>
      </c>
      <c r="S60" s="104" t="s">
        <v>40</v>
      </c>
      <c r="T60" s="104" t="s">
        <v>40</v>
      </c>
      <c r="U60" s="105"/>
      <c r="V60" s="378" t="s">
        <v>27</v>
      </c>
      <c r="W60" s="155" t="s">
        <v>40</v>
      </c>
      <c r="X60" s="379" t="s">
        <v>41</v>
      </c>
      <c r="Y60" s="64"/>
      <c r="Z60" s="64"/>
      <c r="AA60" s="64"/>
      <c r="AB60" s="383"/>
      <c r="AC60" s="64"/>
      <c r="AD60" s="136" t="s">
        <v>15</v>
      </c>
      <c r="AE60" s="136" t="s">
        <v>16</v>
      </c>
      <c r="AF60" s="107"/>
      <c r="AG60" s="104" t="s">
        <v>40</v>
      </c>
      <c r="AH60" s="104" t="s">
        <v>41</v>
      </c>
      <c r="AI60" s="108"/>
      <c r="AJ60" s="109"/>
      <c r="AK60" s="64"/>
      <c r="AL60" s="64"/>
      <c r="AM60" s="64"/>
      <c r="AN60" s="64"/>
      <c r="AO60" s="83" t="str">
        <f>'UC mounting materials '!$B$10</f>
        <v>Rail 30x15</v>
      </c>
      <c r="AP60" s="327">
        <f>IF(AB61&lt;1000,(AB61+100),0)*C61</f>
        <v>0</v>
      </c>
      <c r="AQ60" s="64"/>
      <c r="AR60" s="265" t="s">
        <v>47</v>
      </c>
      <c r="AS60" s="83" t="s">
        <v>23</v>
      </c>
      <c r="AT60" s="273" t="s">
        <v>23</v>
      </c>
      <c r="AU60" s="64"/>
      <c r="AV60" s="64"/>
      <c r="AW60" s="64"/>
    </row>
    <row r="61" spans="1:49" ht="15.75" thickBot="1">
      <c r="A61" s="508"/>
      <c r="B61" s="387" t="s">
        <v>23</v>
      </c>
      <c r="C61" s="95">
        <f>C56</f>
        <v>0</v>
      </c>
      <c r="D61" s="139"/>
      <c r="E61" s="94" t="str">
        <f>IF($C61&gt;0,C61*Q61,"")</f>
        <v/>
      </c>
      <c r="F61" s="141" t="s">
        <v>24</v>
      </c>
      <c r="G61" s="509"/>
      <c r="H61" s="510"/>
      <c r="I61" s="510"/>
      <c r="J61" s="510"/>
      <c r="K61" s="511"/>
      <c r="M61" s="176"/>
      <c r="N61" s="176"/>
      <c r="O61" s="111"/>
      <c r="P61" s="112" t="str">
        <f>IF($C61&gt;0,((2*(B59+C59))*AC61)/1000000,"")</f>
        <v/>
      </c>
      <c r="Q61" s="158" t="str">
        <f>((IF(P61&lt;=informatieblad!$I$15,informatieblad!$I$15,IF(P61&gt;=informatieblad!$I$15,P61))))</f>
        <v/>
      </c>
      <c r="R61" s="112" t="str">
        <f>IF($C61&gt;0,((2*(B59+C59))*AC61)/1000000,"")</f>
        <v/>
      </c>
      <c r="S61" s="112">
        <f>((IF(R61&lt;=informatieblad!$H$15,informatieblad!$H$15,IF(R61&gt;=informatieblad!$H$15,R61))))</f>
        <v>0</v>
      </c>
      <c r="T61" s="113" t="str">
        <f>IF($C61&gt;0,((S61*AG61)+(S61*W61))*C61,"")</f>
        <v/>
      </c>
      <c r="U61" s="114" t="str">
        <f>IF($C61&gt;0,((Q61*AH61)+(Q61*X61))*C61,"")</f>
        <v/>
      </c>
      <c r="V61" s="380">
        <f>G61</f>
        <v>0</v>
      </c>
      <c r="W61" s="115" t="str">
        <f>IF($C61&gt;0,VLOOKUP(G56,informatieblad!$A$37:$D$41,2,FALSE),"")</f>
        <v/>
      </c>
      <c r="X61" s="381">
        <f>VLOOKUP(G56,informatieblad!$A$37:$D$41,4,FALSE)</f>
        <v>0</v>
      </c>
      <c r="Y61" s="64"/>
      <c r="Z61" s="64"/>
      <c r="AA61" s="64"/>
      <c r="AB61" s="384">
        <f>(MAX(B59:C59))</f>
        <v>0</v>
      </c>
      <c r="AC61" s="161">
        <f>(MAX(AE61,AD61))+K48</f>
        <v>1</v>
      </c>
      <c r="AD61" s="162">
        <f>ROUND((SQRT((((MAX(E59,F59))^2)+(K59^2)))),0)</f>
        <v>0</v>
      </c>
      <c r="AE61" s="163">
        <f>ROUND((SQRT((((MAX(G59,H59))^2)+(K59^2)))),0)</f>
        <v>1</v>
      </c>
      <c r="AF61" s="119">
        <f>LOOKUP(AB61,informatieblad!$C$27:$C$32,informatieblad!$A$27:$A$32)</f>
        <v>0.5</v>
      </c>
      <c r="AG61" s="118">
        <f>VLOOKUP(AF61,informatieblad!$A$27:$M$32,6,FALSE)</f>
        <v>0</v>
      </c>
      <c r="AH61" s="118">
        <f>VLOOKUP(AF61,informatieblad!$A$27:$M$32,8,FALSE)</f>
        <v>45.1248</v>
      </c>
      <c r="AI61" s="120">
        <f>VLOOKUP(AF61,informatieblad!$A$27:$M$32,13,FALSE)</f>
        <v>4</v>
      </c>
      <c r="AJ61" s="121" t="e">
        <f>ROUND((AI61*R61),1)</f>
        <v>#VALUE!</v>
      </c>
      <c r="AK61" s="64"/>
      <c r="AL61" s="64"/>
      <c r="AM61" s="64"/>
      <c r="AN61" s="64"/>
      <c r="AO61" s="83" t="str">
        <f>'UC mounting materials '!$B$11</f>
        <v>Rail 41x41</v>
      </c>
      <c r="AP61" s="268">
        <f>IF(AB61&gt;999,(AB61+100),0)*C61</f>
        <v>0</v>
      </c>
      <c r="AQ61" s="64"/>
      <c r="AR61" s="111">
        <f>IF(B60=informatieblad!$A$6,informatieblad!$B$6,IF(B60=informatieblad!$A$7,informatieblad!$B$7,IF(B60=informatieblad!$A$8,informatieblad!$B$8,IF(B60=informatieblad!$A$2,informatieblad!$B$2,IF(B60=informatieblad!$A$3,informatieblad!$B$3,IF(B60=informatieblad!$A$4,informatieblad!$B$4,IF(B60=informatieblad!$A$5,informatieblad!$B$5,"")))))))</f>
        <v>0</v>
      </c>
      <c r="AS61" s="276">
        <f>IF(AR61=AS59,(4*C61),0)</f>
        <v>0</v>
      </c>
      <c r="AT61" s="274">
        <f>IF(AR61=AT59,(4*C61),0)</f>
        <v>0</v>
      </c>
      <c r="AU61" s="64"/>
      <c r="AV61" s="64"/>
      <c r="AW61" s="64"/>
    </row>
    <row r="62" spans="1:49" ht="21.75" thickBot="1">
      <c r="A62" s="386"/>
      <c r="B62" s="122"/>
      <c r="C62" s="336"/>
      <c r="D62" s="122"/>
      <c r="E62" s="122"/>
      <c r="F62" s="122"/>
      <c r="M62" s="176"/>
      <c r="N62" s="176"/>
      <c r="O62" s="83"/>
      <c r="P62" s="142"/>
      <c r="Q62" s="83"/>
      <c r="R62" s="142"/>
      <c r="S62" s="142"/>
      <c r="T62" s="143"/>
      <c r="U62" s="143"/>
      <c r="V62" s="339"/>
      <c r="W62" s="339"/>
      <c r="X62" s="339"/>
      <c r="Y62" s="64"/>
      <c r="Z62" s="64"/>
      <c r="AA62" s="64"/>
      <c r="AB62" s="189"/>
      <c r="AC62" s="166"/>
      <c r="AD62" s="166"/>
      <c r="AE62" s="166"/>
      <c r="AF62" s="83"/>
      <c r="AG62" s="144"/>
      <c r="AH62" s="144"/>
      <c r="AI62" s="142"/>
      <c r="AJ62" s="142"/>
      <c r="AK62" s="64"/>
      <c r="AL62" s="64"/>
      <c r="AM62" s="64"/>
      <c r="AN62" s="64"/>
      <c r="AO62" s="83"/>
      <c r="AP62" s="83"/>
      <c r="AQ62" s="64"/>
      <c r="AR62" s="83"/>
      <c r="AS62" s="83"/>
      <c r="AT62" s="83"/>
      <c r="AU62" s="64"/>
      <c r="AV62" s="64"/>
      <c r="AW62" s="64"/>
    </row>
    <row r="63" spans="1:49" ht="15.75" thickBot="1">
      <c r="A63" s="389" t="s">
        <v>14</v>
      </c>
      <c r="B63" s="390" t="s">
        <v>15</v>
      </c>
      <c r="C63" s="390" t="s">
        <v>16</v>
      </c>
      <c r="D63" s="84" t="s">
        <v>192</v>
      </c>
      <c r="E63" s="167"/>
      <c r="F63" s="167"/>
      <c r="G63" s="167"/>
      <c r="H63" s="167"/>
      <c r="I63" s="167"/>
      <c r="J63" s="167"/>
      <c r="K63" s="196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83"/>
      <c r="AL63" s="83"/>
      <c r="AM63" s="64"/>
      <c r="AN63" s="83"/>
      <c r="AO63" s="64"/>
      <c r="AP63" s="83"/>
      <c r="AQ63" s="64"/>
      <c r="AR63" s="83"/>
      <c r="AS63" s="83"/>
      <c r="AT63" s="83"/>
      <c r="AU63" s="83"/>
      <c r="AV63" s="83"/>
      <c r="AW63" s="83"/>
    </row>
    <row r="64" spans="1:49">
      <c r="A64" s="512">
        <f>A54</f>
        <v>0</v>
      </c>
      <c r="B64" s="388"/>
      <c r="C64" s="388"/>
      <c r="D64" s="388"/>
      <c r="E64" s="515"/>
      <c r="F64" s="516"/>
      <c r="G64" s="516"/>
      <c r="H64" s="517"/>
      <c r="I64" s="394"/>
      <c r="J64" s="394"/>
      <c r="K64" s="395"/>
      <c r="M64" s="64"/>
      <c r="N64" s="64"/>
      <c r="O64" s="97" t="s">
        <v>193</v>
      </c>
      <c r="P64" s="98" t="s">
        <v>27</v>
      </c>
      <c r="Q64" s="98" t="s">
        <v>28</v>
      </c>
      <c r="R64" s="98" t="s">
        <v>27</v>
      </c>
      <c r="S64" s="98" t="s">
        <v>28</v>
      </c>
      <c r="T64" s="98" t="s">
        <v>29</v>
      </c>
      <c r="U64" s="66" t="s">
        <v>30</v>
      </c>
      <c r="V64" s="99" t="s">
        <v>31</v>
      </c>
      <c r="W64" s="99"/>
      <c r="X64" s="99"/>
      <c r="Y64" s="98" t="s">
        <v>32</v>
      </c>
      <c r="Z64" s="98" t="s">
        <v>32</v>
      </c>
      <c r="AA64" s="98"/>
      <c r="AB64" s="98" t="s">
        <v>33</v>
      </c>
      <c r="AC64" s="100" t="s">
        <v>34</v>
      </c>
      <c r="AD64" s="98" t="s">
        <v>32</v>
      </c>
      <c r="AE64" s="98" t="s">
        <v>32</v>
      </c>
      <c r="AF64" s="98" t="s">
        <v>32</v>
      </c>
      <c r="AG64" s="98" t="s">
        <v>32</v>
      </c>
      <c r="AH64" s="98" t="s">
        <v>49</v>
      </c>
      <c r="AI64" s="101" t="s">
        <v>36</v>
      </c>
      <c r="AJ64" s="97" t="str">
        <f>informatieblad!$A$5</f>
        <v>none</v>
      </c>
      <c r="AK64" s="264"/>
      <c r="AL64" s="64"/>
      <c r="AM64" s="266" t="s">
        <v>17</v>
      </c>
      <c r="AN64" s="64"/>
      <c r="AO64" s="64"/>
      <c r="AP64" s="266" t="s">
        <v>37</v>
      </c>
      <c r="AQ64" s="64"/>
      <c r="AR64" s="269" t="s">
        <v>38</v>
      </c>
      <c r="AS64" s="272"/>
      <c r="AT64" s="272">
        <f>informatieblad!$B$3</f>
        <v>0</v>
      </c>
      <c r="AU64" s="272">
        <f>informatieblad!$B$3</f>
        <v>0</v>
      </c>
      <c r="AV64" s="272">
        <f>informatieblad!$B$4</f>
        <v>0</v>
      </c>
      <c r="AW64" s="264">
        <f>informatieblad!$B$4</f>
        <v>0</v>
      </c>
    </row>
    <row r="65" spans="1:49">
      <c r="A65" s="513"/>
      <c r="B65" s="102" t="str">
        <f>B55</f>
        <v>none</v>
      </c>
      <c r="C65" s="102" t="str">
        <f>B55</f>
        <v>none</v>
      </c>
      <c r="D65" s="369"/>
      <c r="E65" s="394"/>
      <c r="F65" s="370"/>
      <c r="G65" s="370"/>
      <c r="H65" s="393"/>
      <c r="I65" s="396"/>
      <c r="J65" s="394"/>
      <c r="K65" s="395"/>
      <c r="M65" s="64"/>
      <c r="N65" s="64"/>
      <c r="O65" s="103">
        <f>A64</f>
        <v>0</v>
      </c>
      <c r="P65" s="104" t="s">
        <v>39</v>
      </c>
      <c r="Q65" s="104" t="s">
        <v>39</v>
      </c>
      <c r="R65" s="104" t="s">
        <v>40</v>
      </c>
      <c r="S65" s="104" t="s">
        <v>40</v>
      </c>
      <c r="T65" s="104" t="s">
        <v>40</v>
      </c>
      <c r="U65" s="105"/>
      <c r="V65" s="106" t="s">
        <v>27</v>
      </c>
      <c r="W65" s="106" t="s">
        <v>40</v>
      </c>
      <c r="X65" s="106" t="s">
        <v>41</v>
      </c>
      <c r="Y65" s="104" t="s">
        <v>42</v>
      </c>
      <c r="Z65" s="104" t="s">
        <v>43</v>
      </c>
      <c r="AA65" s="104"/>
      <c r="AB65" s="104" t="s">
        <v>44</v>
      </c>
      <c r="AC65" s="107"/>
      <c r="AD65" s="104" t="s">
        <v>45</v>
      </c>
      <c r="AE65" s="104" t="s">
        <v>42</v>
      </c>
      <c r="AF65" s="104" t="s">
        <v>43</v>
      </c>
      <c r="AG65" s="104" t="s">
        <v>46</v>
      </c>
      <c r="AH65" s="108"/>
      <c r="AI65" s="109"/>
      <c r="AJ65" s="265"/>
      <c r="AK65" s="105"/>
      <c r="AL65" s="64"/>
      <c r="AM65" s="267"/>
      <c r="AN65" s="64"/>
      <c r="AO65" s="83" t="str">
        <f>'UC mounting materials '!$B$10</f>
        <v>Rail 30x15</v>
      </c>
      <c r="AP65" s="327">
        <f>IF(AB66&lt;1000,(AB66+100),0)*C66</f>
        <v>0</v>
      </c>
      <c r="AQ65" s="64"/>
      <c r="AR65" s="265" t="s">
        <v>47</v>
      </c>
      <c r="AS65" s="106" t="s">
        <v>48</v>
      </c>
      <c r="AT65" s="83" t="s">
        <v>23</v>
      </c>
      <c r="AU65" s="83" t="s">
        <v>23</v>
      </c>
      <c r="AV65" s="83" t="s">
        <v>23</v>
      </c>
      <c r="AW65" s="273" t="s">
        <v>23</v>
      </c>
    </row>
    <row r="66" spans="1:49" ht="15.75" thickBot="1">
      <c r="A66" s="514"/>
      <c r="B66" s="373" t="s">
        <v>23</v>
      </c>
      <c r="C66" s="373">
        <f>C56</f>
        <v>0</v>
      </c>
      <c r="D66" s="372">
        <f>C66*Q66</f>
        <v>0</v>
      </c>
      <c r="E66" s="391">
        <f>C61*O61</f>
        <v>0</v>
      </c>
      <c r="F66" s="392" t="s">
        <v>24</v>
      </c>
      <c r="G66" s="509"/>
      <c r="H66" s="510"/>
      <c r="I66" s="510"/>
      <c r="J66" s="510"/>
      <c r="K66" s="511"/>
      <c r="M66" s="64"/>
      <c r="N66" s="64"/>
      <c r="O66" s="111"/>
      <c r="P66" s="112">
        <f>(((2*(B64+C64))*D64)/1000000)</f>
        <v>0</v>
      </c>
      <c r="Q66" s="112">
        <f>((IF(P66&lt;=informatieblad!$I$12,informatieblad!$I$12,IF(P66&gt;=informatieblad!$I$12,P66))))</f>
        <v>0.5</v>
      </c>
      <c r="R66" s="112">
        <f>(((2*B64)+(2*C64))*D64)/1000000</f>
        <v>0</v>
      </c>
      <c r="S66" s="112">
        <f>((IF(R66&lt;=informatieblad!$H$12,informatieblad!$H$12,IF(R66&gt;=informatieblad!$H$12,R66))))</f>
        <v>0</v>
      </c>
      <c r="T66" s="113">
        <f>IF($C56&gt;0,(S66*Z66)+(S66*W66))*C66</f>
        <v>0</v>
      </c>
      <c r="U66" s="114">
        <f>IF($C56&gt;0,(Q66*Y66)+(Q66*X66))*C66</f>
        <v>0</v>
      </c>
      <c r="V66" s="115">
        <f>I66</f>
        <v>0</v>
      </c>
      <c r="W66" s="116" t="e">
        <f>VLOOKUP(G66,informatieblad!$A$37:$D$41,2,FALSE)</f>
        <v>#N/A</v>
      </c>
      <c r="X66" s="116" t="e">
        <f>VLOOKUP(G66,informatieblad!$A$37:$D$41,4,FALSE)</f>
        <v>#N/A</v>
      </c>
      <c r="Y66" s="117">
        <f>((IF(D64&lt;=900,AE66,IF(D64&gt;=900,AG66))))</f>
        <v>45.1248</v>
      </c>
      <c r="Z66" s="118">
        <f>((IF(D64&lt;=900,AD66,IF(D64&gt;=900,AF66))))</f>
        <v>0</v>
      </c>
      <c r="AA66" s="119"/>
      <c r="AB66" s="119">
        <f>(MAX(B64:C64))</f>
        <v>0</v>
      </c>
      <c r="AC66" s="119">
        <f>LOOKUP(AB66,informatieblad!$C$27:$C$32,informatieblad!$A$27:$A$32)</f>
        <v>0.5</v>
      </c>
      <c r="AD66" s="118">
        <f>VLOOKUP(AC66,informatieblad!$A$27:$M$32,6,FALSE)</f>
        <v>0</v>
      </c>
      <c r="AE66" s="118">
        <f>VLOOKUP(AC66,informatieblad!$A$27:$M$32,8,FALSE)</f>
        <v>45.1248</v>
      </c>
      <c r="AF66" s="118">
        <f>VLOOKUP(AC66,informatieblad!$A$27:$M$32,9,FALSE)</f>
        <v>0</v>
      </c>
      <c r="AG66" s="118">
        <f>VLOOKUP(AC66,informatieblad!$A$27:$M$32,11,FALSE)</f>
        <v>32.463200000000001</v>
      </c>
      <c r="AH66" s="120">
        <f>VLOOKUP(AC66,informatieblad!$A$27:$M$32,13,FALSE)</f>
        <v>4</v>
      </c>
      <c r="AI66" s="121">
        <f>ROUND((AH66*R66),1)</f>
        <v>0</v>
      </c>
      <c r="AJ66" s="111">
        <f>(IF(B65=AJ64,((2*B64)+(2*C64)),0))*C66</f>
        <v>0</v>
      </c>
      <c r="AK66" s="260">
        <f>(IF(C65=AJ64,((2*B64)+(2*C64)),0))*C66</f>
        <v>0</v>
      </c>
      <c r="AL66" s="64"/>
      <c r="AM66" s="268">
        <f>D64*C66</f>
        <v>0</v>
      </c>
      <c r="AN66" s="64"/>
      <c r="AO66" s="83" t="str">
        <f>'UC mounting materials '!$B$11</f>
        <v>Rail 41x41</v>
      </c>
      <c r="AP66" s="268">
        <f>IF(AB66&gt;999,(AB66+100),0)*C66</f>
        <v>0</v>
      </c>
      <c r="AQ66" s="64"/>
      <c r="AR66" s="111">
        <f>IF(B65=informatieblad!$A$6,informatieblad!$B$6,IF(B65=informatieblad!$A$7,informatieblad!$B$7,IF(B65=informatieblad!$A$8,informatieblad!$B$8,IF(B65=informatieblad!$A$2,informatieblad!$B$2,IF(B65=informatieblad!$A$3,informatieblad!$B$3,IF(B65=informatieblad!$A$4,informatieblad!$B$4,IF(B65=informatieblad!$A$5,informatieblad!$B$5,"")))))))</f>
        <v>0</v>
      </c>
      <c r="AS66" s="275">
        <f>IF(C65=informatieblad!$A$6,informatieblad!$B$6,IF(C65=informatieblad!$A$7,informatieblad!$B$7,IF(C65=informatieblad!$A$8,informatieblad!$B$8,IF(C65=informatieblad!$A$2,informatieblad!$B$2,IF(C65=informatieblad!$A$3,informatieblad!$B$3,IF(C65=informatieblad!$A$4,informatieblad!$B$4,IF(C65=informatieblad!$A$5,informatieblad!$B$5,"")))))))</f>
        <v>0</v>
      </c>
      <c r="AT66" s="276">
        <f>IF(AR66=AT64,(4*C66),0)</f>
        <v>0</v>
      </c>
      <c r="AU66" s="276">
        <f>IF(AS66=AT64,(4*C66),0)</f>
        <v>0</v>
      </c>
      <c r="AV66" s="276">
        <f>IF(AR66=AV64,(4*C66),0)</f>
        <v>0</v>
      </c>
      <c r="AW66" s="274">
        <f>IF(AS66=AV64,(4*C66),0)</f>
        <v>0</v>
      </c>
    </row>
    <row r="67" spans="1:49" ht="15.75" thickBot="1">
      <c r="A67" s="122"/>
      <c r="B67" s="122"/>
      <c r="C67" s="122"/>
      <c r="D67" s="122"/>
      <c r="E67" s="122"/>
      <c r="F67" s="122"/>
      <c r="G67" s="122"/>
      <c r="H67" s="122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83"/>
      <c r="AL67" s="83"/>
      <c r="AM67" s="64"/>
      <c r="AN67" s="83"/>
      <c r="AO67" s="64"/>
      <c r="AP67" s="83"/>
      <c r="AQ67" s="83"/>
      <c r="AR67" s="64"/>
      <c r="AS67" s="83"/>
      <c r="AT67" s="83"/>
      <c r="AU67" s="83"/>
      <c r="AV67" s="83"/>
      <c r="AW67" s="83"/>
    </row>
    <row r="68" spans="1:49">
      <c r="O68" s="97" t="s">
        <v>193</v>
      </c>
      <c r="P68" s="98" t="s">
        <v>27</v>
      </c>
      <c r="Q68" s="98" t="s">
        <v>28</v>
      </c>
      <c r="R68" s="98" t="s">
        <v>27</v>
      </c>
      <c r="S68" s="98" t="s">
        <v>28</v>
      </c>
      <c r="T68" s="98" t="s">
        <v>29</v>
      </c>
      <c r="U68" s="66" t="s">
        <v>30</v>
      </c>
    </row>
    <row r="69" spans="1:49">
      <c r="O69" s="103">
        <f>A54</f>
        <v>0</v>
      </c>
      <c r="P69" s="104" t="s">
        <v>39</v>
      </c>
      <c r="Q69" s="104" t="s">
        <v>39</v>
      </c>
      <c r="R69" s="104" t="s">
        <v>40</v>
      </c>
      <c r="S69" s="104" t="s">
        <v>40</v>
      </c>
      <c r="T69" s="104" t="s">
        <v>40</v>
      </c>
      <c r="U69" s="105"/>
    </row>
    <row r="70" spans="1:49" ht="15.75" thickBot="1">
      <c r="O70" s="111"/>
      <c r="P70" s="112">
        <f t="shared" ref="P70:U70" si="2">SUM(P56,P61,P66)</f>
        <v>0</v>
      </c>
      <c r="Q70" s="112">
        <f t="shared" si="2"/>
        <v>0.5</v>
      </c>
      <c r="R70" s="112">
        <f t="shared" si="2"/>
        <v>0</v>
      </c>
      <c r="S70" s="112">
        <f t="shared" si="2"/>
        <v>0</v>
      </c>
      <c r="T70" s="113">
        <f t="shared" si="2"/>
        <v>0</v>
      </c>
      <c r="U70" s="114">
        <f t="shared" si="2"/>
        <v>0</v>
      </c>
    </row>
    <row r="71" spans="1:49" ht="15.75" thickBot="1">
      <c r="A71" s="403"/>
      <c r="B71" s="404"/>
      <c r="C71" s="404"/>
      <c r="D71" s="404"/>
      <c r="E71" s="404"/>
      <c r="F71" s="404"/>
      <c r="G71" s="404"/>
      <c r="H71" s="404"/>
      <c r="I71" s="404"/>
      <c r="J71" s="404"/>
    </row>
    <row r="72" spans="1:49" ht="15.75" thickBot="1">
      <c r="A72" s="78" t="s">
        <v>14</v>
      </c>
      <c r="B72" s="79" t="s">
        <v>15</v>
      </c>
      <c r="C72" s="79" t="s">
        <v>16</v>
      </c>
      <c r="D72" s="79" t="s">
        <v>101</v>
      </c>
      <c r="E72" s="79" t="s">
        <v>183</v>
      </c>
      <c r="F72" s="79" t="s">
        <v>184</v>
      </c>
      <c r="G72" s="79" t="s">
        <v>185</v>
      </c>
      <c r="H72" s="79" t="s">
        <v>186</v>
      </c>
      <c r="I72" s="79" t="s">
        <v>117</v>
      </c>
      <c r="J72" s="79" t="s">
        <v>118</v>
      </c>
      <c r="K72" s="125" t="s">
        <v>187</v>
      </c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</row>
    <row r="73" spans="1:49" ht="15.75" thickBot="1">
      <c r="A73" s="445"/>
      <c r="B73" s="167" t="str">
        <f>IF($C75&gt;0,$B83-5,"")</f>
        <v/>
      </c>
      <c r="C73" s="167" t="str">
        <f>IF($C75&gt;0,$C83-5,"")</f>
        <v/>
      </c>
      <c r="D73" s="96"/>
      <c r="E73" s="96" t="str">
        <f>IF($C75&gt;0,(B73-D73)/2,"")</f>
        <v/>
      </c>
      <c r="F73" s="167" t="str">
        <f>IF($C75&gt;0,B73-D73-E73,"")</f>
        <v/>
      </c>
      <c r="G73" s="96">
        <v>2</v>
      </c>
      <c r="H73" s="167" t="str">
        <f>IF($C75&gt;0,C73-D73-G73,"")</f>
        <v/>
      </c>
      <c r="I73" s="300" t="str">
        <f>IF($C75&gt;0,$K$10,"")</f>
        <v/>
      </c>
      <c r="J73" s="300" t="str">
        <f>IF($C75&gt;0,$K$11,"")</f>
        <v/>
      </c>
      <c r="K73" s="178"/>
      <c r="L73" s="345" t="s">
        <v>20</v>
      </c>
      <c r="M73" s="375"/>
      <c r="N73" s="375"/>
      <c r="O73" s="97" t="s">
        <v>14</v>
      </c>
      <c r="P73" s="98" t="s">
        <v>27</v>
      </c>
      <c r="Q73" s="98" t="s">
        <v>28</v>
      </c>
      <c r="R73" s="98" t="s">
        <v>27</v>
      </c>
      <c r="S73" s="98" t="s">
        <v>28</v>
      </c>
      <c r="T73" s="98" t="s">
        <v>29</v>
      </c>
      <c r="U73" s="66" t="s">
        <v>30</v>
      </c>
      <c r="V73" s="376" t="s">
        <v>31</v>
      </c>
      <c r="W73" s="153"/>
      <c r="X73" s="377"/>
      <c r="Y73" s="64"/>
      <c r="Z73" s="64"/>
      <c r="AA73" s="64"/>
      <c r="AB73" s="382" t="s">
        <v>83</v>
      </c>
      <c r="AC73" s="98" t="s">
        <v>84</v>
      </c>
      <c r="AD73" s="98" t="s">
        <v>93</v>
      </c>
      <c r="AE73" s="100" t="s">
        <v>94</v>
      </c>
      <c r="AF73" s="100" t="s">
        <v>34</v>
      </c>
      <c r="AG73" s="98" t="s">
        <v>32</v>
      </c>
      <c r="AH73" s="98" t="s">
        <v>32</v>
      </c>
      <c r="AI73" s="98" t="s">
        <v>50</v>
      </c>
      <c r="AJ73" s="101" t="s">
        <v>36</v>
      </c>
      <c r="AK73" s="64"/>
      <c r="AL73" s="64"/>
      <c r="AM73" s="64"/>
      <c r="AN73" s="64"/>
      <c r="AO73" s="64"/>
      <c r="AP73" s="266" t="s">
        <v>37</v>
      </c>
      <c r="AQ73" s="64"/>
      <c r="AR73" s="269" t="s">
        <v>38</v>
      </c>
      <c r="AS73" s="272">
        <f>informatieblad!$B$3</f>
        <v>0</v>
      </c>
      <c r="AT73" s="264">
        <f>informatieblad!$B$4</f>
        <v>0</v>
      </c>
      <c r="AU73" s="64"/>
      <c r="AV73" s="64"/>
      <c r="AW73" s="64"/>
    </row>
    <row r="74" spans="1:49">
      <c r="A74" s="481"/>
      <c r="B74" s="482" t="str">
        <f>informatieblad!A5</f>
        <v>none</v>
      </c>
      <c r="C74" s="483"/>
      <c r="D74" s="397" t="str">
        <f>A73&amp;"-"&amp;informatieblad!$B$22&amp;"-"&amp;B83&amp;"-"&amp;C83&amp;"-"&amp;D83&amp;"-"&amp;K73&amp;"-"&amp;K78&amp;"-"&amp;D73&amp;"-"&amp;D78&amp;"-"&amp;B74&amp;"-"&amp;G75</f>
        <v>-RctK--------none-Options None</v>
      </c>
      <c r="E74" s="174"/>
      <c r="F74" s="174"/>
      <c r="G74" s="174"/>
      <c r="H74" s="469" t="s">
        <v>82</v>
      </c>
      <c r="I74" s="470"/>
      <c r="J74" s="470"/>
      <c r="K74" s="191" t="str">
        <f>(IF($C75&gt;0,(IF(MAX((MAX(B73,C73)-D73)/2,(D73-MAX(B73,C73)))*1.732&gt;270,MAX((MAX(B73,C73)-D73)/2,(#REF!-MAX(B73,C73)))*1.732,270)),""))</f>
        <v/>
      </c>
      <c r="L74" s="83"/>
      <c r="M74" s="83"/>
      <c r="N74" s="83"/>
      <c r="O74" s="103">
        <f>A73</f>
        <v>0</v>
      </c>
      <c r="P74" s="104" t="s">
        <v>39</v>
      </c>
      <c r="Q74" s="104" t="s">
        <v>39</v>
      </c>
      <c r="R74" s="104" t="s">
        <v>40</v>
      </c>
      <c r="S74" s="104" t="s">
        <v>40</v>
      </c>
      <c r="T74" s="104" t="s">
        <v>40</v>
      </c>
      <c r="U74" s="105"/>
      <c r="V74" s="378" t="s">
        <v>27</v>
      </c>
      <c r="W74" s="155" t="s">
        <v>40</v>
      </c>
      <c r="X74" s="379" t="s">
        <v>41</v>
      </c>
      <c r="Y74" s="64"/>
      <c r="Z74" s="64"/>
      <c r="AA74" s="64"/>
      <c r="AB74" s="383"/>
      <c r="AC74" s="64"/>
      <c r="AD74" s="136" t="s">
        <v>15</v>
      </c>
      <c r="AE74" s="136" t="s">
        <v>16</v>
      </c>
      <c r="AF74" s="107"/>
      <c r="AG74" s="104" t="s">
        <v>40</v>
      </c>
      <c r="AH74" s="104" t="s">
        <v>41</v>
      </c>
      <c r="AI74" s="108"/>
      <c r="AJ74" s="109"/>
      <c r="AK74" s="64"/>
      <c r="AL74" s="64"/>
      <c r="AM74" s="64"/>
      <c r="AN74" s="64"/>
      <c r="AO74" s="83" t="str">
        <f>'UC mounting materials '!$B$10</f>
        <v>Rail 30x15</v>
      </c>
      <c r="AP74" s="327">
        <f>IF(AB75&lt;1000,(AB75+100),0)*C75</f>
        <v>0</v>
      </c>
      <c r="AQ74" s="64"/>
      <c r="AR74" s="265" t="s">
        <v>47</v>
      </c>
      <c r="AS74" s="83" t="s">
        <v>23</v>
      </c>
      <c r="AT74" s="273" t="s">
        <v>23</v>
      </c>
      <c r="AU74" s="64"/>
      <c r="AV74" s="64"/>
      <c r="AW74" s="64"/>
    </row>
    <row r="75" spans="1:49" ht="15.75" thickBot="1">
      <c r="A75" s="476"/>
      <c r="B75" s="186" t="s">
        <v>23</v>
      </c>
      <c r="C75" s="110"/>
      <c r="D75" s="139"/>
      <c r="E75" s="94" t="str">
        <f>IF($C75&gt;0,C75*Q75,"")</f>
        <v/>
      </c>
      <c r="F75" s="141" t="s">
        <v>169</v>
      </c>
      <c r="G75" s="451" t="s">
        <v>25</v>
      </c>
      <c r="H75" s="484"/>
      <c r="I75" s="484"/>
      <c r="J75" s="484"/>
      <c r="K75" s="485"/>
      <c r="L75" s="176"/>
      <c r="M75" s="176"/>
      <c r="N75" s="176"/>
      <c r="O75" s="111"/>
      <c r="P75" s="112" t="str">
        <f>IF($C75&gt;0,((2*(B73+C73))*AC75)/1000000,"")</f>
        <v/>
      </c>
      <c r="Q75" s="158" t="str">
        <f>((IF(P75&lt;=informatieblad!$I$15,informatieblad!$I$15,IF(P75&gt;=informatieblad!$I$15,P75))))</f>
        <v/>
      </c>
      <c r="R75" s="112" t="str">
        <f>IF($C75&gt;0,((2*(B73+C73))*AC75)/1000000,"")</f>
        <v/>
      </c>
      <c r="S75" s="112">
        <f>((IF(R75&lt;=informatieblad!$H$15,informatieblad!$H$15,IF(R75&gt;=informatieblad!$H$15,R75))))</f>
        <v>0</v>
      </c>
      <c r="T75" s="113" t="str">
        <f>IF($C75&gt;0,((S75*AG75)+(S75*W75))*C75,"")</f>
        <v/>
      </c>
      <c r="U75" s="114" t="str">
        <f>IF($C75&gt;0,((Q75*AH75)+(Q75*X75))*C75,"")</f>
        <v/>
      </c>
      <c r="V75" s="380" t="str">
        <f>G75</f>
        <v>Options None</v>
      </c>
      <c r="W75" s="115" t="str">
        <f>IF($C75&gt;0,VLOOKUP(G75,informatieblad!$A$37:$D$41,2,FALSE),"")</f>
        <v/>
      </c>
      <c r="X75" s="381">
        <f>VLOOKUP(G75,informatieblad!$A$37:$D$41,4,FALSE)</f>
        <v>0</v>
      </c>
      <c r="Y75" s="64"/>
      <c r="Z75" s="64"/>
      <c r="AA75" s="64"/>
      <c r="AB75" s="384">
        <f>(MAX(B73:C73))</f>
        <v>0</v>
      </c>
      <c r="AC75" s="161">
        <f>(MAX(AE75,AD75))+K67</f>
        <v>2</v>
      </c>
      <c r="AD75" s="162">
        <f>ROUND((SQRT((((MAX(E73,F73))^2)+(K73^2)))),0)</f>
        <v>0</v>
      </c>
      <c r="AE75" s="163">
        <f>ROUND((SQRT((((MAX(G73,H73))^2)+(K73^2)))),0)</f>
        <v>2</v>
      </c>
      <c r="AF75" s="119">
        <f>LOOKUP(AB75,informatieblad!$C$27:$C$32,informatieblad!$A$27:$A$32)</f>
        <v>0.5</v>
      </c>
      <c r="AG75" s="118">
        <f>VLOOKUP(AF75,informatieblad!$A$27:$M$32,6,FALSE)</f>
        <v>0</v>
      </c>
      <c r="AH75" s="118">
        <f>VLOOKUP(AF75,informatieblad!$A$27:$M$32,8,FALSE)</f>
        <v>45.1248</v>
      </c>
      <c r="AI75" s="120">
        <f>VLOOKUP(AF75,informatieblad!$A$27:$M$32,13,FALSE)</f>
        <v>4</v>
      </c>
      <c r="AJ75" s="121" t="e">
        <f>ROUND((AI75*R75),1)</f>
        <v>#VALUE!</v>
      </c>
      <c r="AK75" s="64"/>
      <c r="AL75" s="64"/>
      <c r="AM75" s="64"/>
      <c r="AN75" s="64"/>
      <c r="AO75" s="83" t="str">
        <f>'UC mounting materials '!$B$11</f>
        <v>Rail 41x41</v>
      </c>
      <c r="AP75" s="268">
        <f>IF(AB75&gt;999,(AB75+100),0)*C75</f>
        <v>0</v>
      </c>
      <c r="AQ75" s="64"/>
      <c r="AR75" s="111">
        <f>IF(B74=informatieblad!$A$6,informatieblad!$B$6,IF(B74=informatieblad!$A$7,informatieblad!$B$7,IF(B74=informatieblad!$A$8,informatieblad!$B$8,IF(B74=informatieblad!$A$2,informatieblad!$B$2,IF(B74=informatieblad!$A$3,informatieblad!$B$3,IF(B74=informatieblad!$A$4,informatieblad!$B$4,IF(B74=informatieblad!$A$5,informatieblad!$B$5,"")))))))</f>
        <v>0</v>
      </c>
      <c r="AS75" s="276">
        <f>IF(AR75=AS73,(4*C75),0)</f>
        <v>0</v>
      </c>
      <c r="AT75" s="274">
        <f>IF(AR75=AT73,(4*C75),0)</f>
        <v>0</v>
      </c>
      <c r="AU75" s="64"/>
      <c r="AV75" s="64"/>
      <c r="AW75" s="64"/>
    </row>
    <row r="76" spans="1:49" ht="21.75" thickBot="1">
      <c r="A76" s="385"/>
      <c r="B76" s="122"/>
      <c r="C76" s="336"/>
      <c r="D76" s="122"/>
      <c r="E76" s="122"/>
      <c r="F76" s="122"/>
      <c r="M76" s="176"/>
      <c r="N76" s="176"/>
      <c r="O76" s="83"/>
      <c r="P76" s="142"/>
      <c r="Q76" s="83"/>
      <c r="R76" s="142"/>
      <c r="S76" s="142"/>
      <c r="T76" s="143"/>
      <c r="U76" s="143"/>
      <c r="V76" s="339"/>
      <c r="W76" s="339"/>
      <c r="X76" s="339"/>
      <c r="Y76" s="64"/>
      <c r="Z76" s="64"/>
      <c r="AA76" s="64"/>
      <c r="AB76" s="189"/>
      <c r="AC76" s="166"/>
      <c r="AD76" s="166"/>
      <c r="AE76" s="166"/>
      <c r="AF76" s="83"/>
      <c r="AG76" s="144"/>
      <c r="AH76" s="144"/>
      <c r="AI76" s="142"/>
      <c r="AJ76" s="142"/>
      <c r="AK76" s="64"/>
      <c r="AL76" s="64"/>
      <c r="AM76" s="64"/>
      <c r="AN76" s="64"/>
      <c r="AO76" s="83"/>
      <c r="AP76" s="83"/>
      <c r="AQ76" s="64"/>
      <c r="AR76" s="83"/>
      <c r="AS76" s="83"/>
      <c r="AT76" s="83"/>
      <c r="AU76" s="64"/>
      <c r="AV76" s="64"/>
      <c r="AW76" s="64"/>
    </row>
    <row r="77" spans="1:49" ht="15.75" thickBot="1">
      <c r="A77" s="78" t="s">
        <v>14</v>
      </c>
      <c r="B77" s="79" t="s">
        <v>15</v>
      </c>
      <c r="C77" s="79" t="s">
        <v>16</v>
      </c>
      <c r="D77" s="79" t="s">
        <v>102</v>
      </c>
      <c r="E77" s="79" t="s">
        <v>172</v>
      </c>
      <c r="F77" s="79" t="s">
        <v>188</v>
      </c>
      <c r="G77" s="79" t="s">
        <v>189</v>
      </c>
      <c r="H77" s="79" t="s">
        <v>190</v>
      </c>
      <c r="I77" s="79" t="s">
        <v>117</v>
      </c>
      <c r="J77" s="79" t="s">
        <v>118</v>
      </c>
      <c r="K77" s="125" t="s">
        <v>191</v>
      </c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</row>
    <row r="78" spans="1:49">
      <c r="A78" s="454">
        <f>A73</f>
        <v>0</v>
      </c>
      <c r="B78" s="167" t="str">
        <f>IF($C75&gt;0,$B83-5,"")</f>
        <v/>
      </c>
      <c r="C78" s="167" t="str">
        <f>IF($C75&gt;0,$C83-5,"")</f>
        <v/>
      </c>
      <c r="D78" s="96"/>
      <c r="E78" s="96" t="str">
        <f>IF($C80&gt;0,(B78-D78)/2,"")</f>
        <v/>
      </c>
      <c r="F78" s="167" t="str">
        <f>IF($C80&gt;0,B78-D78-E78,"")</f>
        <v/>
      </c>
      <c r="G78" s="96">
        <v>2</v>
      </c>
      <c r="H78" s="167" t="str">
        <f>IF($C80&gt;0,C78-D78-G78,"")</f>
        <v/>
      </c>
      <c r="I78" s="300" t="str">
        <f>IF($C75&gt;0,$K$10,"")</f>
        <v/>
      </c>
      <c r="J78" s="300" t="str">
        <f>IF($C75&gt;0,$K$11,"")</f>
        <v/>
      </c>
      <c r="K78" s="178"/>
      <c r="M78" s="375"/>
      <c r="N78" s="375"/>
      <c r="O78" s="97" t="s">
        <v>14</v>
      </c>
      <c r="P78" s="98" t="s">
        <v>27</v>
      </c>
      <c r="Q78" s="98" t="s">
        <v>28</v>
      </c>
      <c r="R78" s="98" t="s">
        <v>27</v>
      </c>
      <c r="S78" s="98" t="s">
        <v>28</v>
      </c>
      <c r="T78" s="98" t="s">
        <v>29</v>
      </c>
      <c r="U78" s="66" t="s">
        <v>30</v>
      </c>
      <c r="V78" s="376" t="s">
        <v>31</v>
      </c>
      <c r="W78" s="153"/>
      <c r="X78" s="377"/>
      <c r="Y78" s="64"/>
      <c r="Z78" s="64"/>
      <c r="AA78" s="64"/>
      <c r="AB78" s="382" t="s">
        <v>83</v>
      </c>
      <c r="AC78" s="98" t="s">
        <v>84</v>
      </c>
      <c r="AD78" s="98" t="s">
        <v>93</v>
      </c>
      <c r="AE78" s="100" t="s">
        <v>94</v>
      </c>
      <c r="AF78" s="100" t="s">
        <v>34</v>
      </c>
      <c r="AG78" s="98" t="s">
        <v>32</v>
      </c>
      <c r="AH78" s="98" t="s">
        <v>32</v>
      </c>
      <c r="AI78" s="98" t="s">
        <v>50</v>
      </c>
      <c r="AJ78" s="101" t="s">
        <v>36</v>
      </c>
      <c r="AK78" s="64"/>
      <c r="AL78" s="64"/>
      <c r="AM78" s="64"/>
      <c r="AN78" s="64"/>
      <c r="AO78" s="64"/>
      <c r="AP78" s="266" t="s">
        <v>37</v>
      </c>
      <c r="AQ78" s="64"/>
      <c r="AR78" s="269" t="s">
        <v>38</v>
      </c>
      <c r="AS78" s="272">
        <f>informatieblad!$B$3</f>
        <v>0</v>
      </c>
      <c r="AT78" s="264">
        <f>informatieblad!$B$4</f>
        <v>0</v>
      </c>
      <c r="AU78" s="64"/>
      <c r="AV78" s="64"/>
      <c r="AW78" s="64"/>
    </row>
    <row r="79" spans="1:49">
      <c r="A79" s="507"/>
      <c r="B79" s="482" t="str">
        <f>B74</f>
        <v>none</v>
      </c>
      <c r="C79" s="483"/>
      <c r="D79" s="397"/>
      <c r="E79" s="174"/>
      <c r="F79" s="174"/>
      <c r="G79" s="174"/>
      <c r="H79" s="469" t="s">
        <v>82</v>
      </c>
      <c r="I79" s="470"/>
      <c r="J79" s="470"/>
      <c r="K79" s="191" t="str">
        <f>(IF($C80&gt;0,(IF(MAX((MAX(B78,C78)-D78)/2,(D78-MAX(B78,C78)))*1.732&gt;270,MAX((MAX(B78,C78)-D78)/2,(#REF!-MAX(B78,C78)))*1.732,270)),""))</f>
        <v/>
      </c>
      <c r="M79" s="83"/>
      <c r="N79" s="83"/>
      <c r="O79" s="103">
        <f>A78</f>
        <v>0</v>
      </c>
      <c r="P79" s="104" t="s">
        <v>39</v>
      </c>
      <c r="Q79" s="104" t="s">
        <v>39</v>
      </c>
      <c r="R79" s="104" t="s">
        <v>40</v>
      </c>
      <c r="S79" s="104" t="s">
        <v>40</v>
      </c>
      <c r="T79" s="104" t="s">
        <v>40</v>
      </c>
      <c r="U79" s="105"/>
      <c r="V79" s="378" t="s">
        <v>27</v>
      </c>
      <c r="W79" s="155" t="s">
        <v>40</v>
      </c>
      <c r="X79" s="379" t="s">
        <v>41</v>
      </c>
      <c r="Y79" s="64"/>
      <c r="Z79" s="64"/>
      <c r="AA79" s="64"/>
      <c r="AB79" s="383"/>
      <c r="AC79" s="64"/>
      <c r="AD79" s="136" t="s">
        <v>15</v>
      </c>
      <c r="AE79" s="136" t="s">
        <v>16</v>
      </c>
      <c r="AF79" s="107"/>
      <c r="AG79" s="104" t="s">
        <v>40</v>
      </c>
      <c r="AH79" s="104" t="s">
        <v>41</v>
      </c>
      <c r="AI79" s="108"/>
      <c r="AJ79" s="109"/>
      <c r="AK79" s="64"/>
      <c r="AL79" s="64"/>
      <c r="AM79" s="64"/>
      <c r="AN79" s="64"/>
      <c r="AO79" s="83" t="str">
        <f>'UC mounting materials '!$B$10</f>
        <v>Rail 30x15</v>
      </c>
      <c r="AP79" s="327">
        <f>IF(AB80&lt;1000,(AB80+100),0)*C80</f>
        <v>0</v>
      </c>
      <c r="AQ79" s="64"/>
      <c r="AR79" s="265" t="s">
        <v>47</v>
      </c>
      <c r="AS79" s="83" t="s">
        <v>23</v>
      </c>
      <c r="AT79" s="273" t="s">
        <v>23</v>
      </c>
      <c r="AU79" s="64"/>
      <c r="AV79" s="64"/>
      <c r="AW79" s="64"/>
    </row>
    <row r="80" spans="1:49" ht="15.75" thickBot="1">
      <c r="A80" s="508"/>
      <c r="B80" s="387" t="s">
        <v>23</v>
      </c>
      <c r="C80" s="95">
        <f>C75</f>
        <v>0</v>
      </c>
      <c r="D80" s="139"/>
      <c r="E80" s="94" t="str">
        <f>IF($C80&gt;0,C80*Q80,"")</f>
        <v/>
      </c>
      <c r="F80" s="141" t="s">
        <v>24</v>
      </c>
      <c r="G80" s="509"/>
      <c r="H80" s="510"/>
      <c r="I80" s="510"/>
      <c r="J80" s="510"/>
      <c r="K80" s="511"/>
      <c r="M80" s="176"/>
      <c r="N80" s="176"/>
      <c r="O80" s="111"/>
      <c r="P80" s="112" t="str">
        <f>IF($C80&gt;0,((2*(B78+C78))*AC80)/1000000,"")</f>
        <v/>
      </c>
      <c r="Q80" s="158" t="str">
        <f>((IF(P80&lt;=informatieblad!$I$15,informatieblad!$I$15,IF(P80&gt;=informatieblad!$I$15,P80))))</f>
        <v/>
      </c>
      <c r="R80" s="112" t="str">
        <f>IF($C80&gt;0,((2*(B78+C78))*AC80)/1000000,"")</f>
        <v/>
      </c>
      <c r="S80" s="112">
        <f>((IF(R80&lt;=informatieblad!$H$15,informatieblad!$H$15,IF(R80&gt;=informatieblad!$H$15,R80))))</f>
        <v>0</v>
      </c>
      <c r="T80" s="113" t="str">
        <f>IF($C80&gt;0,((S80*AG80)+(S80*W80))*C80,"")</f>
        <v/>
      </c>
      <c r="U80" s="114" t="str">
        <f>IF($C80&gt;0,((Q80*AH80)+(Q80*X80))*C80,"")</f>
        <v/>
      </c>
      <c r="V80" s="380">
        <f>G80</f>
        <v>0</v>
      </c>
      <c r="W80" s="115" t="str">
        <f>IF($C80&gt;0,VLOOKUP(G75,informatieblad!$A$37:$D$41,2,FALSE),"")</f>
        <v/>
      </c>
      <c r="X80" s="381">
        <f>VLOOKUP(G75,informatieblad!$A$37:$D$41,4,FALSE)</f>
        <v>0</v>
      </c>
      <c r="Y80" s="64"/>
      <c r="Z80" s="64"/>
      <c r="AA80" s="64"/>
      <c r="AB80" s="384">
        <f>(MAX(B78:C78))</f>
        <v>0</v>
      </c>
      <c r="AC80" s="161">
        <f>(MAX(AE80,AD80))+K67</f>
        <v>2</v>
      </c>
      <c r="AD80" s="162">
        <f>ROUND((SQRT((((MAX(E78,F78))^2)+(K78^2)))),0)</f>
        <v>0</v>
      </c>
      <c r="AE80" s="163">
        <f>ROUND((SQRT((((MAX(G78,H78))^2)+(K78^2)))),0)</f>
        <v>2</v>
      </c>
      <c r="AF80" s="119">
        <f>LOOKUP(AB80,informatieblad!$C$27:$C$32,informatieblad!$A$27:$A$32)</f>
        <v>0.5</v>
      </c>
      <c r="AG80" s="118">
        <f>VLOOKUP(AF80,informatieblad!$A$27:$M$32,6,FALSE)</f>
        <v>0</v>
      </c>
      <c r="AH80" s="118">
        <f>VLOOKUP(AF80,informatieblad!$A$27:$M$32,8,FALSE)</f>
        <v>45.1248</v>
      </c>
      <c r="AI80" s="120">
        <f>VLOOKUP(AF80,informatieblad!$A$27:$M$32,13,FALSE)</f>
        <v>4</v>
      </c>
      <c r="AJ80" s="121" t="e">
        <f>ROUND((AI80*R80),1)</f>
        <v>#VALUE!</v>
      </c>
      <c r="AK80" s="64"/>
      <c r="AL80" s="64"/>
      <c r="AM80" s="64"/>
      <c r="AN80" s="64"/>
      <c r="AO80" s="83" t="str">
        <f>'UC mounting materials '!$B$11</f>
        <v>Rail 41x41</v>
      </c>
      <c r="AP80" s="268">
        <f>IF(AB80&gt;999,(AB80+100),0)*C80</f>
        <v>0</v>
      </c>
      <c r="AQ80" s="64"/>
      <c r="AR80" s="111">
        <f>IF(B79=informatieblad!$A$6,informatieblad!$B$6,IF(B79=informatieblad!$A$7,informatieblad!$B$7,IF(B79=informatieblad!$A$8,informatieblad!$B$8,IF(B79=informatieblad!$A$2,informatieblad!$B$2,IF(B79=informatieblad!$A$3,informatieblad!$B$3,IF(B79=informatieblad!$A$4,informatieblad!$B$4,IF(B79=informatieblad!$A$5,informatieblad!$B$5,"")))))))</f>
        <v>0</v>
      </c>
      <c r="AS80" s="276">
        <f>IF(AR80=AS78,(4*C80),0)</f>
        <v>0</v>
      </c>
      <c r="AT80" s="274">
        <f>IF(AR80=AT78,(4*C80),0)</f>
        <v>0</v>
      </c>
      <c r="AU80" s="64"/>
      <c r="AV80" s="64"/>
      <c r="AW80" s="64"/>
    </row>
    <row r="81" spans="1:49" ht="21.75" thickBot="1">
      <c r="A81" s="386"/>
      <c r="B81" s="122"/>
      <c r="C81" s="336"/>
      <c r="D81" s="122"/>
      <c r="E81" s="122"/>
      <c r="F81" s="122"/>
      <c r="M81" s="176"/>
      <c r="N81" s="176"/>
      <c r="O81" s="83"/>
      <c r="P81" s="142"/>
      <c r="Q81" s="83"/>
      <c r="R81" s="142"/>
      <c r="S81" s="142"/>
      <c r="T81" s="143"/>
      <c r="U81" s="143"/>
      <c r="V81" s="339"/>
      <c r="W81" s="339"/>
      <c r="X81" s="339"/>
      <c r="Y81" s="64"/>
      <c r="Z81" s="64"/>
      <c r="AA81" s="64"/>
      <c r="AB81" s="189"/>
      <c r="AC81" s="166"/>
      <c r="AD81" s="166"/>
      <c r="AE81" s="166"/>
      <c r="AF81" s="83"/>
      <c r="AG81" s="144"/>
      <c r="AH81" s="144"/>
      <c r="AI81" s="142"/>
      <c r="AJ81" s="142"/>
      <c r="AK81" s="64"/>
      <c r="AL81" s="64"/>
      <c r="AM81" s="64"/>
      <c r="AN81" s="64"/>
      <c r="AO81" s="83"/>
      <c r="AP81" s="83"/>
      <c r="AQ81" s="64"/>
      <c r="AR81" s="83"/>
      <c r="AS81" s="83"/>
      <c r="AT81" s="83"/>
      <c r="AU81" s="64"/>
      <c r="AV81" s="64"/>
      <c r="AW81" s="64"/>
    </row>
    <row r="82" spans="1:49" ht="15.75" thickBot="1">
      <c r="A82" s="389" t="s">
        <v>14</v>
      </c>
      <c r="B82" s="390" t="s">
        <v>15</v>
      </c>
      <c r="C82" s="390" t="s">
        <v>16</v>
      </c>
      <c r="D82" s="84" t="s">
        <v>192</v>
      </c>
      <c r="E82" s="167"/>
      <c r="F82" s="167"/>
      <c r="G82" s="167"/>
      <c r="H82" s="167"/>
      <c r="I82" s="167"/>
      <c r="J82" s="167"/>
      <c r="K82" s="196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83"/>
      <c r="AL82" s="83"/>
      <c r="AM82" s="64"/>
      <c r="AN82" s="83"/>
      <c r="AO82" s="64"/>
      <c r="AP82" s="83"/>
      <c r="AQ82" s="64"/>
      <c r="AR82" s="83"/>
      <c r="AS82" s="83"/>
      <c r="AT82" s="83"/>
      <c r="AU82" s="83"/>
      <c r="AV82" s="83"/>
      <c r="AW82" s="83"/>
    </row>
    <row r="83" spans="1:49">
      <c r="A83" s="512">
        <f>A73</f>
        <v>0</v>
      </c>
      <c r="B83" s="388"/>
      <c r="C83" s="388"/>
      <c r="D83" s="388"/>
      <c r="E83" s="515"/>
      <c r="F83" s="516"/>
      <c r="G83" s="516"/>
      <c r="H83" s="517"/>
      <c r="I83" s="394"/>
      <c r="J83" s="394"/>
      <c r="K83" s="395"/>
      <c r="M83" s="64"/>
      <c r="N83" s="64"/>
      <c r="O83" s="97" t="s">
        <v>193</v>
      </c>
      <c r="P83" s="98" t="s">
        <v>27</v>
      </c>
      <c r="Q83" s="98" t="s">
        <v>28</v>
      </c>
      <c r="R83" s="98" t="s">
        <v>27</v>
      </c>
      <c r="S83" s="98" t="s">
        <v>28</v>
      </c>
      <c r="T83" s="98" t="s">
        <v>29</v>
      </c>
      <c r="U83" s="66" t="s">
        <v>30</v>
      </c>
      <c r="V83" s="99" t="s">
        <v>31</v>
      </c>
      <c r="W83" s="99"/>
      <c r="X83" s="99"/>
      <c r="Y83" s="98" t="s">
        <v>32</v>
      </c>
      <c r="Z83" s="98" t="s">
        <v>32</v>
      </c>
      <c r="AA83" s="98"/>
      <c r="AB83" s="98" t="s">
        <v>33</v>
      </c>
      <c r="AC83" s="100" t="s">
        <v>34</v>
      </c>
      <c r="AD83" s="98" t="s">
        <v>32</v>
      </c>
      <c r="AE83" s="98" t="s">
        <v>32</v>
      </c>
      <c r="AF83" s="98" t="s">
        <v>32</v>
      </c>
      <c r="AG83" s="98" t="s">
        <v>32</v>
      </c>
      <c r="AH83" s="98" t="s">
        <v>50</v>
      </c>
      <c r="AI83" s="101" t="s">
        <v>36</v>
      </c>
      <c r="AJ83" s="97" t="str">
        <f>informatieblad!$A$5</f>
        <v>none</v>
      </c>
      <c r="AK83" s="264"/>
      <c r="AL83" s="64"/>
      <c r="AM83" s="266" t="s">
        <v>17</v>
      </c>
      <c r="AN83" s="64"/>
      <c r="AO83" s="64"/>
      <c r="AP83" s="266" t="s">
        <v>37</v>
      </c>
      <c r="AQ83" s="64"/>
      <c r="AR83" s="269" t="s">
        <v>38</v>
      </c>
      <c r="AS83" s="272"/>
      <c r="AT83" s="272">
        <f>informatieblad!$B$3</f>
        <v>0</v>
      </c>
      <c r="AU83" s="272">
        <f>informatieblad!$B$3</f>
        <v>0</v>
      </c>
      <c r="AV83" s="272">
        <f>informatieblad!$B$4</f>
        <v>0</v>
      </c>
      <c r="AW83" s="264">
        <f>informatieblad!$B$4</f>
        <v>0</v>
      </c>
    </row>
    <row r="84" spans="1:49">
      <c r="A84" s="513"/>
      <c r="B84" s="102" t="str">
        <f>B74</f>
        <v>none</v>
      </c>
      <c r="C84" s="102" t="str">
        <f>B74</f>
        <v>none</v>
      </c>
      <c r="D84" s="369"/>
      <c r="E84" s="394"/>
      <c r="F84" s="370"/>
      <c r="G84" s="370"/>
      <c r="H84" s="393"/>
      <c r="I84" s="396"/>
      <c r="J84" s="394"/>
      <c r="K84" s="395"/>
      <c r="M84" s="64"/>
      <c r="N84" s="64"/>
      <c r="O84" s="103">
        <f>A83</f>
        <v>0</v>
      </c>
      <c r="P84" s="104" t="s">
        <v>39</v>
      </c>
      <c r="Q84" s="104" t="s">
        <v>39</v>
      </c>
      <c r="R84" s="104" t="s">
        <v>40</v>
      </c>
      <c r="S84" s="104" t="s">
        <v>40</v>
      </c>
      <c r="T84" s="104" t="s">
        <v>40</v>
      </c>
      <c r="U84" s="105"/>
      <c r="V84" s="106" t="s">
        <v>27</v>
      </c>
      <c r="W84" s="106" t="s">
        <v>40</v>
      </c>
      <c r="X84" s="106" t="s">
        <v>41</v>
      </c>
      <c r="Y84" s="104" t="s">
        <v>42</v>
      </c>
      <c r="Z84" s="104" t="s">
        <v>43</v>
      </c>
      <c r="AA84" s="104"/>
      <c r="AB84" s="104" t="s">
        <v>44</v>
      </c>
      <c r="AC84" s="107"/>
      <c r="AD84" s="104" t="s">
        <v>45</v>
      </c>
      <c r="AE84" s="104" t="s">
        <v>42</v>
      </c>
      <c r="AF84" s="104" t="s">
        <v>43</v>
      </c>
      <c r="AG84" s="104" t="s">
        <v>46</v>
      </c>
      <c r="AH84" s="108"/>
      <c r="AI84" s="109"/>
      <c r="AJ84" s="265"/>
      <c r="AK84" s="105"/>
      <c r="AL84" s="64"/>
      <c r="AM84" s="267"/>
      <c r="AN84" s="64"/>
      <c r="AO84" s="83" t="str">
        <f>'UC mounting materials '!$B$10</f>
        <v>Rail 30x15</v>
      </c>
      <c r="AP84" s="327">
        <f>IF(AB85&lt;1000,(AB85+100),0)*C85</f>
        <v>0</v>
      </c>
      <c r="AQ84" s="64"/>
      <c r="AR84" s="265" t="s">
        <v>47</v>
      </c>
      <c r="AS84" s="106" t="s">
        <v>48</v>
      </c>
      <c r="AT84" s="83" t="s">
        <v>23</v>
      </c>
      <c r="AU84" s="83" t="s">
        <v>23</v>
      </c>
      <c r="AV84" s="83" t="s">
        <v>23</v>
      </c>
      <c r="AW84" s="273" t="s">
        <v>23</v>
      </c>
    </row>
    <row r="85" spans="1:49" ht="15.75" thickBot="1">
      <c r="A85" s="514"/>
      <c r="B85" s="373" t="s">
        <v>23</v>
      </c>
      <c r="C85" s="373">
        <f>C75</f>
        <v>0</v>
      </c>
      <c r="D85" s="372">
        <f>C85*Q85</f>
        <v>0</v>
      </c>
      <c r="E85" s="391">
        <f>C80*O80</f>
        <v>0</v>
      </c>
      <c r="F85" s="392" t="s">
        <v>24</v>
      </c>
      <c r="G85" s="509"/>
      <c r="H85" s="510"/>
      <c r="I85" s="510"/>
      <c r="J85" s="510"/>
      <c r="K85" s="511"/>
      <c r="M85" s="64"/>
      <c r="N85" s="64"/>
      <c r="O85" s="111"/>
      <c r="P85" s="112">
        <f>(((2*(B83+C83))*D83)/1000000)</f>
        <v>0</v>
      </c>
      <c r="Q85" s="112">
        <f>((IF(P85&lt;=informatieblad!$I$12,informatieblad!$I$12,IF(P85&gt;=informatieblad!$I$12,P85))))</f>
        <v>0.5</v>
      </c>
      <c r="R85" s="112">
        <f>(((2*B83)+(2*C83))*D83)/1000000</f>
        <v>0</v>
      </c>
      <c r="S85" s="112">
        <f>((IF(R85&lt;=informatieblad!$H$12,informatieblad!$H$12,IF(R85&gt;=informatieblad!$H$12,R85))))</f>
        <v>0</v>
      </c>
      <c r="T85" s="113">
        <f>IF($C75&gt;0,(S85*Z85)+(S85*W85))*C85</f>
        <v>0</v>
      </c>
      <c r="U85" s="114">
        <f>IF($C75&gt;0,(Q85*Y85)+(Q85*X85))*C85</f>
        <v>0</v>
      </c>
      <c r="V85" s="115">
        <f>I85</f>
        <v>0</v>
      </c>
      <c r="W85" s="116" t="e">
        <f>VLOOKUP(G85,informatieblad!$A$37:$D$41,2,FALSE)</f>
        <v>#N/A</v>
      </c>
      <c r="X85" s="116" t="e">
        <f>VLOOKUP(G85,informatieblad!$A$37:$D$41,4,FALSE)</f>
        <v>#N/A</v>
      </c>
      <c r="Y85" s="117">
        <f>((IF(D83&lt;=900,AE85,IF(D83&gt;=900,AG85))))</f>
        <v>45.1248</v>
      </c>
      <c r="Z85" s="118">
        <f>((IF(D83&lt;=900,AD85,IF(D83&gt;=900,AF85))))</f>
        <v>0</v>
      </c>
      <c r="AA85" s="119"/>
      <c r="AB85" s="119">
        <f>(MAX(B83:C83))</f>
        <v>0</v>
      </c>
      <c r="AC85" s="119">
        <f>LOOKUP(AB85,informatieblad!$C$27:$C$32,informatieblad!$A$27:$A$32)</f>
        <v>0.5</v>
      </c>
      <c r="AD85" s="118">
        <f>VLOOKUP(AC85,informatieblad!$A$27:$M$32,6,FALSE)</f>
        <v>0</v>
      </c>
      <c r="AE85" s="118">
        <f>VLOOKUP(AC85,informatieblad!$A$27:$M$32,8,FALSE)</f>
        <v>45.1248</v>
      </c>
      <c r="AF85" s="118">
        <f>VLOOKUP(AC85,informatieblad!$A$27:$M$32,9,FALSE)</f>
        <v>0</v>
      </c>
      <c r="AG85" s="118">
        <f>VLOOKUP(AC85,informatieblad!$A$27:$M$32,11,FALSE)</f>
        <v>32.463200000000001</v>
      </c>
      <c r="AH85" s="120">
        <f>VLOOKUP(AC85,informatieblad!$A$27:$M$32,13,FALSE)</f>
        <v>4</v>
      </c>
      <c r="AI85" s="121">
        <f>ROUND((AH85*R85),1)</f>
        <v>0</v>
      </c>
      <c r="AJ85" s="111">
        <f>(IF(B84=AJ83,((2*B83)+(2*C83)),0))*C85</f>
        <v>0</v>
      </c>
      <c r="AK85" s="260">
        <f>(IF(C84=AJ83,((2*B83)+(2*C83)),0))*C85</f>
        <v>0</v>
      </c>
      <c r="AL85" s="64"/>
      <c r="AM85" s="268">
        <f>D83*C85</f>
        <v>0</v>
      </c>
      <c r="AN85" s="64"/>
      <c r="AO85" s="83" t="str">
        <f>'UC mounting materials '!$B$11</f>
        <v>Rail 41x41</v>
      </c>
      <c r="AP85" s="268">
        <f>IF(AB85&gt;999,(AB85+100),0)*C85</f>
        <v>0</v>
      </c>
      <c r="AQ85" s="64"/>
      <c r="AR85" s="111">
        <f>IF(B84=informatieblad!$A$6,informatieblad!$B$6,IF(B84=informatieblad!$A$7,informatieblad!$B$7,IF(B84=informatieblad!$A$8,informatieblad!$B$8,IF(B84=informatieblad!$A$2,informatieblad!$B$2,IF(B84=informatieblad!$A$3,informatieblad!$B$3,IF(B84=informatieblad!$A$4,informatieblad!$B$4,IF(B84=informatieblad!$A$5,informatieblad!$B$5,"")))))))</f>
        <v>0</v>
      </c>
      <c r="AS85" s="275">
        <f>IF(C84=informatieblad!$A$6,informatieblad!$B$6,IF(C84=informatieblad!$A$7,informatieblad!$B$7,IF(C84=informatieblad!$A$8,informatieblad!$B$8,IF(C84=informatieblad!$A$2,informatieblad!$B$2,IF(C84=informatieblad!$A$3,informatieblad!$B$3,IF(C84=informatieblad!$A$4,informatieblad!$B$4,IF(C84=informatieblad!$A$5,informatieblad!$B$5,"")))))))</f>
        <v>0</v>
      </c>
      <c r="AT85" s="276">
        <f>IF(AR85=AT83,(4*C85),0)</f>
        <v>0</v>
      </c>
      <c r="AU85" s="276">
        <f>IF(AS85=AT83,(4*C85),0)</f>
        <v>0</v>
      </c>
      <c r="AV85" s="276">
        <f>IF(AR85=AV83,(4*C85),0)</f>
        <v>0</v>
      </c>
      <c r="AW85" s="274">
        <f>IF(AS85=AV83,(4*C85),0)</f>
        <v>0</v>
      </c>
    </row>
    <row r="86" spans="1:49" ht="15.75" thickBot="1">
      <c r="A86" s="122"/>
      <c r="B86" s="122"/>
      <c r="C86" s="122"/>
      <c r="D86" s="122"/>
      <c r="E86" s="122"/>
      <c r="F86" s="122"/>
      <c r="G86" s="122"/>
      <c r="H86" s="122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83"/>
      <c r="AL86" s="83"/>
      <c r="AM86" s="64"/>
      <c r="AN86" s="83"/>
      <c r="AO86" s="64"/>
      <c r="AP86" s="83"/>
      <c r="AQ86" s="83"/>
      <c r="AR86" s="64"/>
      <c r="AS86" s="83"/>
      <c r="AT86" s="83"/>
      <c r="AU86" s="83"/>
      <c r="AV86" s="83"/>
      <c r="AW86" s="83"/>
    </row>
    <row r="87" spans="1:49">
      <c r="O87" s="97" t="s">
        <v>193</v>
      </c>
      <c r="P87" s="98" t="s">
        <v>27</v>
      </c>
      <c r="Q87" s="98" t="s">
        <v>28</v>
      </c>
      <c r="R87" s="98" t="s">
        <v>27</v>
      </c>
      <c r="S87" s="98" t="s">
        <v>28</v>
      </c>
      <c r="T87" s="98" t="s">
        <v>29</v>
      </c>
      <c r="U87" s="66" t="s">
        <v>30</v>
      </c>
    </row>
    <row r="88" spans="1:49">
      <c r="O88" s="103">
        <f>A73</f>
        <v>0</v>
      </c>
      <c r="P88" s="104" t="s">
        <v>39</v>
      </c>
      <c r="Q88" s="104" t="s">
        <v>39</v>
      </c>
      <c r="R88" s="104" t="s">
        <v>40</v>
      </c>
      <c r="S88" s="104" t="s">
        <v>40</v>
      </c>
      <c r="T88" s="104" t="s">
        <v>40</v>
      </c>
      <c r="U88" s="105"/>
    </row>
    <row r="89" spans="1:49" ht="15.75" thickBot="1">
      <c r="O89" s="111"/>
      <c r="P89" s="112">
        <f t="shared" ref="P89:U89" si="3">SUM(P75,P80,P85)</f>
        <v>0</v>
      </c>
      <c r="Q89" s="112">
        <f t="shared" si="3"/>
        <v>0.5</v>
      </c>
      <c r="R89" s="112">
        <f t="shared" si="3"/>
        <v>0</v>
      </c>
      <c r="S89" s="112">
        <f t="shared" si="3"/>
        <v>0</v>
      </c>
      <c r="T89" s="113">
        <f t="shared" si="3"/>
        <v>0</v>
      </c>
      <c r="U89" s="114">
        <f t="shared" si="3"/>
        <v>0</v>
      </c>
    </row>
    <row r="90" spans="1:49" ht="15.75" thickBot="1">
      <c r="A90" s="403"/>
      <c r="B90" s="404"/>
      <c r="C90" s="404"/>
      <c r="D90" s="404"/>
      <c r="E90" s="404"/>
      <c r="F90" s="404"/>
      <c r="G90" s="404"/>
      <c r="H90" s="404"/>
      <c r="I90" s="404"/>
      <c r="J90" s="404"/>
    </row>
    <row r="91" spans="1:49" ht="15.75" thickBot="1">
      <c r="A91" s="78" t="s">
        <v>14</v>
      </c>
      <c r="B91" s="79" t="s">
        <v>15</v>
      </c>
      <c r="C91" s="79" t="s">
        <v>16</v>
      </c>
      <c r="D91" s="79" t="s">
        <v>101</v>
      </c>
      <c r="E91" s="79" t="s">
        <v>183</v>
      </c>
      <c r="F91" s="79" t="s">
        <v>184</v>
      </c>
      <c r="G91" s="79" t="s">
        <v>185</v>
      </c>
      <c r="H91" s="79" t="s">
        <v>186</v>
      </c>
      <c r="I91" s="79" t="s">
        <v>117</v>
      </c>
      <c r="J91" s="79" t="s">
        <v>118</v>
      </c>
      <c r="K91" s="125" t="s">
        <v>187</v>
      </c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</row>
    <row r="92" spans="1:49" ht="15.75" thickBot="1">
      <c r="A92" s="445"/>
      <c r="B92" s="167" t="str">
        <f>IF($C94&gt;0,$B102-5,"")</f>
        <v/>
      </c>
      <c r="C92" s="167" t="str">
        <f>IF($C94&gt;0,$C102-5,"")</f>
        <v/>
      </c>
      <c r="D92" s="96"/>
      <c r="E92" s="96" t="str">
        <f>IF($C94&gt;0,(B92-D92)/2,"")</f>
        <v/>
      </c>
      <c r="F92" s="167" t="str">
        <f>IF($C94&gt;0,B92-D92-E92,"")</f>
        <v/>
      </c>
      <c r="G92" s="96">
        <v>1</v>
      </c>
      <c r="H92" s="167" t="str">
        <f>IF($C94&gt;0,C92-D92-G92,"")</f>
        <v/>
      </c>
      <c r="I92" s="300" t="str">
        <f>IF($C94&gt;0,$K$10,"")</f>
        <v/>
      </c>
      <c r="J92" s="300" t="str">
        <f>IF($C94&gt;0,$K$11,"")</f>
        <v/>
      </c>
      <c r="K92" s="178"/>
      <c r="L92" s="345" t="s">
        <v>20</v>
      </c>
      <c r="M92" s="375"/>
      <c r="N92" s="375"/>
      <c r="O92" s="97" t="s">
        <v>14</v>
      </c>
      <c r="P92" s="98" t="s">
        <v>27</v>
      </c>
      <c r="Q92" s="98" t="s">
        <v>28</v>
      </c>
      <c r="R92" s="98" t="s">
        <v>27</v>
      </c>
      <c r="S92" s="98" t="s">
        <v>28</v>
      </c>
      <c r="T92" s="98" t="s">
        <v>29</v>
      </c>
      <c r="U92" s="66" t="s">
        <v>30</v>
      </c>
      <c r="V92" s="376" t="s">
        <v>31</v>
      </c>
      <c r="W92" s="153"/>
      <c r="X92" s="377"/>
      <c r="Y92" s="64"/>
      <c r="Z92" s="64"/>
      <c r="AA92" s="64"/>
      <c r="AB92" s="382" t="s">
        <v>83</v>
      </c>
      <c r="AC92" s="98" t="s">
        <v>84</v>
      </c>
      <c r="AD92" s="98" t="s">
        <v>89</v>
      </c>
      <c r="AE92" s="100" t="s">
        <v>90</v>
      </c>
      <c r="AF92" s="100" t="s">
        <v>34</v>
      </c>
      <c r="AG92" s="98" t="s">
        <v>32</v>
      </c>
      <c r="AH92" s="98" t="s">
        <v>32</v>
      </c>
      <c r="AI92" s="98" t="s">
        <v>49</v>
      </c>
      <c r="AJ92" s="101" t="s">
        <v>36</v>
      </c>
      <c r="AK92" s="64"/>
      <c r="AL92" s="64"/>
      <c r="AM92" s="64"/>
      <c r="AN92" s="64"/>
      <c r="AO92" s="64"/>
      <c r="AP92" s="266" t="s">
        <v>37</v>
      </c>
      <c r="AQ92" s="64"/>
      <c r="AR92" s="269" t="s">
        <v>38</v>
      </c>
      <c r="AS92" s="272">
        <f>informatieblad!$B$3</f>
        <v>0</v>
      </c>
      <c r="AT92" s="264">
        <f>informatieblad!$B$4</f>
        <v>0</v>
      </c>
      <c r="AU92" s="64"/>
      <c r="AV92" s="64"/>
      <c r="AW92" s="64"/>
    </row>
    <row r="93" spans="1:49">
      <c r="A93" s="481"/>
      <c r="B93" s="482" t="str">
        <f>informatieblad!A5</f>
        <v>none</v>
      </c>
      <c r="C93" s="483"/>
      <c r="D93" s="397" t="str">
        <f>A92&amp;"-"&amp;informatieblad!$B$22&amp;"-"&amp;B102&amp;"-"&amp;C102&amp;"-"&amp;D102&amp;"-"&amp;K92&amp;"-"&amp;K97&amp;"-"&amp;D92&amp;"-"&amp;D97&amp;"-"&amp;B93&amp;"-"&amp;G94</f>
        <v>-RctK--------none-Options None</v>
      </c>
      <c r="E93" s="174"/>
      <c r="F93" s="174"/>
      <c r="G93" s="174"/>
      <c r="H93" s="469" t="s">
        <v>82</v>
      </c>
      <c r="I93" s="470"/>
      <c r="J93" s="470"/>
      <c r="K93" s="191" t="str">
        <f>(IF($C94&gt;0,(IF(MAX((MAX(B92,C92)-D92)/2,(D92-MAX(B92,C92)))*1.732&gt;270,MAX((MAX(B92,C92)-D92)/2,(#REF!-MAX(B92,C92)))*1.732,270)),""))</f>
        <v/>
      </c>
      <c r="L93" s="83"/>
      <c r="M93" s="83"/>
      <c r="N93" s="83"/>
      <c r="O93" s="103">
        <f>A92</f>
        <v>0</v>
      </c>
      <c r="P93" s="104" t="s">
        <v>39</v>
      </c>
      <c r="Q93" s="104" t="s">
        <v>39</v>
      </c>
      <c r="R93" s="104" t="s">
        <v>40</v>
      </c>
      <c r="S93" s="104" t="s">
        <v>40</v>
      </c>
      <c r="T93" s="104" t="s">
        <v>40</v>
      </c>
      <c r="U93" s="105"/>
      <c r="V93" s="378" t="s">
        <v>27</v>
      </c>
      <c r="W93" s="155" t="s">
        <v>40</v>
      </c>
      <c r="X93" s="379" t="s">
        <v>41</v>
      </c>
      <c r="Y93" s="64"/>
      <c r="Z93" s="64"/>
      <c r="AA93" s="64"/>
      <c r="AB93" s="383"/>
      <c r="AC93" s="64"/>
      <c r="AD93" s="136" t="s">
        <v>15</v>
      </c>
      <c r="AE93" s="136" t="s">
        <v>16</v>
      </c>
      <c r="AF93" s="107"/>
      <c r="AG93" s="104" t="s">
        <v>40</v>
      </c>
      <c r="AH93" s="104" t="s">
        <v>41</v>
      </c>
      <c r="AI93" s="108"/>
      <c r="AJ93" s="109"/>
      <c r="AK93" s="64"/>
      <c r="AL93" s="64"/>
      <c r="AM93" s="64"/>
      <c r="AN93" s="64"/>
      <c r="AO93" s="83" t="str">
        <f>'UC mounting materials '!$B$10</f>
        <v>Rail 30x15</v>
      </c>
      <c r="AP93" s="327">
        <f>IF(AB94&lt;1000,(AB94+100),0)*C94</f>
        <v>0</v>
      </c>
      <c r="AQ93" s="64"/>
      <c r="AR93" s="265" t="s">
        <v>47</v>
      </c>
      <c r="AS93" s="83" t="s">
        <v>23</v>
      </c>
      <c r="AT93" s="273" t="s">
        <v>23</v>
      </c>
      <c r="AU93" s="64"/>
      <c r="AV93" s="64"/>
      <c r="AW93" s="64"/>
    </row>
    <row r="94" spans="1:49" ht="15.75" thickBot="1">
      <c r="A94" s="476"/>
      <c r="B94" s="186" t="s">
        <v>23</v>
      </c>
      <c r="C94" s="110"/>
      <c r="D94" s="139"/>
      <c r="E94" s="94" t="str">
        <f>IF($C94&gt;0,C94*Q94,"")</f>
        <v/>
      </c>
      <c r="F94" s="141" t="s">
        <v>24</v>
      </c>
      <c r="G94" s="451" t="s">
        <v>25</v>
      </c>
      <c r="H94" s="484"/>
      <c r="I94" s="484"/>
      <c r="J94" s="484"/>
      <c r="K94" s="485"/>
      <c r="L94" s="176"/>
      <c r="M94" s="176"/>
      <c r="N94" s="176"/>
      <c r="O94" s="111"/>
      <c r="P94" s="112" t="str">
        <f>IF($C94&gt;0,((2*(B92+C92))*AC94)/1000000,"")</f>
        <v/>
      </c>
      <c r="Q94" s="158" t="str">
        <f>((IF(P94&lt;=informatieblad!$I$15,informatieblad!$I$15,IF(P94&gt;=informatieblad!$I$15,P94))))</f>
        <v/>
      </c>
      <c r="R94" s="112" t="str">
        <f>IF($C94&gt;0,((2*(B92+C92))*AC94)/1000000,"")</f>
        <v/>
      </c>
      <c r="S94" s="112">
        <f>((IF(R94&lt;=informatieblad!$H$15,informatieblad!$H$15,IF(R94&gt;=informatieblad!$H$15,R94))))</f>
        <v>0</v>
      </c>
      <c r="T94" s="113" t="str">
        <f>IF($C94&gt;0,((S94*AG94)+(S94*W94))*C94,"")</f>
        <v/>
      </c>
      <c r="U94" s="114" t="str">
        <f>IF($C94&gt;0,((Q94*AH94)+(Q94*X94))*C94,"")</f>
        <v/>
      </c>
      <c r="V94" s="380" t="str">
        <f>G94</f>
        <v>Options None</v>
      </c>
      <c r="W94" s="115" t="str">
        <f>IF($C94&gt;0,VLOOKUP(G94,informatieblad!$A$37:$D$41,2,FALSE),"")</f>
        <v/>
      </c>
      <c r="X94" s="381">
        <f>VLOOKUP(G94,informatieblad!$A$37:$D$41,4,FALSE)</f>
        <v>0</v>
      </c>
      <c r="Y94" s="64"/>
      <c r="Z94" s="64"/>
      <c r="AA94" s="64"/>
      <c r="AB94" s="384">
        <f>(MAX(B92:C92))</f>
        <v>0</v>
      </c>
      <c r="AC94" s="161">
        <f>(MAX(AE94,AD94))+K86</f>
        <v>1</v>
      </c>
      <c r="AD94" s="162">
        <f>ROUND((SQRT((((MAX(E92,F92))^2)+(K92^2)))),0)</f>
        <v>0</v>
      </c>
      <c r="AE94" s="163">
        <f>ROUND((SQRT((((MAX(G92,H92))^2)+(K92^2)))),0)</f>
        <v>1</v>
      </c>
      <c r="AF94" s="119">
        <f>LOOKUP(AB94,informatieblad!$C$27:$C$32,informatieblad!$A$27:$A$32)</f>
        <v>0.5</v>
      </c>
      <c r="AG94" s="118">
        <f>VLOOKUP(AF94,informatieblad!$A$27:$M$32,6,FALSE)</f>
        <v>0</v>
      </c>
      <c r="AH94" s="118">
        <f>VLOOKUP(AF94,informatieblad!$A$27:$M$32,8,FALSE)</f>
        <v>45.1248</v>
      </c>
      <c r="AI94" s="120">
        <f>VLOOKUP(AF94,informatieblad!$A$27:$M$32,13,FALSE)</f>
        <v>4</v>
      </c>
      <c r="AJ94" s="121" t="e">
        <f>ROUND((AI94*R94),1)</f>
        <v>#VALUE!</v>
      </c>
      <c r="AK94" s="64"/>
      <c r="AL94" s="64"/>
      <c r="AM94" s="64"/>
      <c r="AN94" s="64"/>
      <c r="AO94" s="83" t="str">
        <f>'UC mounting materials '!$B$11</f>
        <v>Rail 41x41</v>
      </c>
      <c r="AP94" s="268">
        <f>IF(AB94&gt;999,(AB94+100),0)*C94</f>
        <v>0</v>
      </c>
      <c r="AQ94" s="64"/>
      <c r="AR94" s="111">
        <f>IF(B93=informatieblad!$A$6,informatieblad!$B$6,IF(B93=informatieblad!$A$7,informatieblad!$B$7,IF(B93=informatieblad!$A$8,informatieblad!$B$8,IF(B93=informatieblad!$A$2,informatieblad!$B$2,IF(B93=informatieblad!$A$3,informatieblad!$B$3,IF(B93=informatieblad!$A$4,informatieblad!$B$4,IF(B93=informatieblad!$A$5,informatieblad!$B$5,"")))))))</f>
        <v>0</v>
      </c>
      <c r="AS94" s="276">
        <f>IF(AR94=AS92,(4*C94),0)</f>
        <v>0</v>
      </c>
      <c r="AT94" s="274">
        <f>IF(AR94=AT92,(4*C94),0)</f>
        <v>0</v>
      </c>
      <c r="AU94" s="64"/>
      <c r="AV94" s="64"/>
      <c r="AW94" s="64"/>
    </row>
    <row r="95" spans="1:49" ht="21.75" thickBot="1">
      <c r="A95" s="385"/>
      <c r="B95" s="122"/>
      <c r="C95" s="336"/>
      <c r="D95" s="122"/>
      <c r="E95" s="122"/>
      <c r="F95" s="122"/>
      <c r="M95" s="176"/>
      <c r="N95" s="176"/>
      <c r="O95" s="83"/>
      <c r="P95" s="142"/>
      <c r="Q95" s="83"/>
      <c r="R95" s="142"/>
      <c r="S95" s="142"/>
      <c r="T95" s="143"/>
      <c r="U95" s="143"/>
      <c r="V95" s="339"/>
      <c r="W95" s="339"/>
      <c r="X95" s="339"/>
      <c r="Y95" s="64"/>
      <c r="Z95" s="64"/>
      <c r="AA95" s="64"/>
      <c r="AB95" s="189"/>
      <c r="AC95" s="166"/>
      <c r="AD95" s="166"/>
      <c r="AE95" s="166"/>
      <c r="AF95" s="83"/>
      <c r="AG95" s="144"/>
      <c r="AH95" s="144"/>
      <c r="AI95" s="142"/>
      <c r="AJ95" s="142"/>
      <c r="AK95" s="64"/>
      <c r="AL95" s="64"/>
      <c r="AM95" s="64"/>
      <c r="AN95" s="64"/>
      <c r="AO95" s="83"/>
      <c r="AP95" s="83"/>
      <c r="AQ95" s="64"/>
      <c r="AR95" s="83"/>
      <c r="AS95" s="83"/>
      <c r="AT95" s="83"/>
      <c r="AU95" s="64"/>
      <c r="AV95" s="64"/>
      <c r="AW95" s="64"/>
    </row>
    <row r="96" spans="1:49" ht="15.75" thickBot="1">
      <c r="A96" s="78" t="s">
        <v>14</v>
      </c>
      <c r="B96" s="79" t="s">
        <v>15</v>
      </c>
      <c r="C96" s="79" t="s">
        <v>16</v>
      </c>
      <c r="D96" s="79" t="s">
        <v>102</v>
      </c>
      <c r="E96" s="79" t="s">
        <v>172</v>
      </c>
      <c r="F96" s="79" t="s">
        <v>188</v>
      </c>
      <c r="G96" s="79" t="s">
        <v>189</v>
      </c>
      <c r="H96" s="79" t="s">
        <v>190</v>
      </c>
      <c r="I96" s="79" t="s">
        <v>117</v>
      </c>
      <c r="J96" s="79" t="s">
        <v>118</v>
      </c>
      <c r="K96" s="125" t="s">
        <v>191</v>
      </c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</row>
    <row r="97" spans="1:49">
      <c r="A97" s="454">
        <f>A92</f>
        <v>0</v>
      </c>
      <c r="B97" s="167" t="str">
        <f>IF($C94&gt;0,$B102-5,"")</f>
        <v/>
      </c>
      <c r="C97" s="167" t="str">
        <f>IF($C94&gt;0,$C102-5,"")</f>
        <v/>
      </c>
      <c r="D97" s="96"/>
      <c r="E97" s="96" t="str">
        <f>IF($C99&gt;0,(B97-D97)/2,"")</f>
        <v/>
      </c>
      <c r="F97" s="167" t="str">
        <f>IF($C99&gt;0,B97-D97-E97,"")</f>
        <v/>
      </c>
      <c r="G97" s="96">
        <v>1</v>
      </c>
      <c r="H97" s="167" t="str">
        <f>IF($C99&gt;0,C97-D97-G97,"")</f>
        <v/>
      </c>
      <c r="I97" s="300" t="str">
        <f>IF($C94&gt;0,$K$10,"")</f>
        <v/>
      </c>
      <c r="J97" s="300" t="str">
        <f>IF($C94&gt;0,$K$11,"")</f>
        <v/>
      </c>
      <c r="K97" s="178"/>
      <c r="M97" s="375"/>
      <c r="N97" s="375"/>
      <c r="O97" s="97" t="s">
        <v>14</v>
      </c>
      <c r="P97" s="98" t="s">
        <v>27</v>
      </c>
      <c r="Q97" s="98" t="s">
        <v>28</v>
      </c>
      <c r="R97" s="98" t="s">
        <v>27</v>
      </c>
      <c r="S97" s="98" t="s">
        <v>28</v>
      </c>
      <c r="T97" s="98" t="s">
        <v>29</v>
      </c>
      <c r="U97" s="66" t="s">
        <v>30</v>
      </c>
      <c r="V97" s="376" t="s">
        <v>31</v>
      </c>
      <c r="W97" s="153"/>
      <c r="X97" s="377"/>
      <c r="Y97" s="64"/>
      <c r="Z97" s="64"/>
      <c r="AA97" s="64"/>
      <c r="AB97" s="382" t="s">
        <v>83</v>
      </c>
      <c r="AC97" s="98" t="s">
        <v>84</v>
      </c>
      <c r="AD97" s="98" t="s">
        <v>89</v>
      </c>
      <c r="AE97" s="100" t="s">
        <v>90</v>
      </c>
      <c r="AF97" s="100" t="s">
        <v>34</v>
      </c>
      <c r="AG97" s="98" t="s">
        <v>32</v>
      </c>
      <c r="AH97" s="98" t="s">
        <v>32</v>
      </c>
      <c r="AI97" s="98" t="s">
        <v>49</v>
      </c>
      <c r="AJ97" s="101" t="s">
        <v>36</v>
      </c>
      <c r="AK97" s="64"/>
      <c r="AL97" s="64"/>
      <c r="AM97" s="64"/>
      <c r="AN97" s="64"/>
      <c r="AO97" s="64"/>
      <c r="AP97" s="266" t="s">
        <v>37</v>
      </c>
      <c r="AQ97" s="64"/>
      <c r="AR97" s="269" t="s">
        <v>38</v>
      </c>
      <c r="AS97" s="272">
        <f>informatieblad!$B$3</f>
        <v>0</v>
      </c>
      <c r="AT97" s="264">
        <f>informatieblad!$B$4</f>
        <v>0</v>
      </c>
      <c r="AU97" s="64"/>
      <c r="AV97" s="64"/>
      <c r="AW97" s="64"/>
    </row>
    <row r="98" spans="1:49">
      <c r="A98" s="507"/>
      <c r="B98" s="482" t="str">
        <f>B93</f>
        <v>none</v>
      </c>
      <c r="C98" s="483"/>
      <c r="D98" s="397"/>
      <c r="E98" s="174"/>
      <c r="F98" s="174"/>
      <c r="G98" s="174"/>
      <c r="H98" s="469" t="s">
        <v>82</v>
      </c>
      <c r="I98" s="470"/>
      <c r="J98" s="470"/>
      <c r="K98" s="191" t="str">
        <f>(IF($C99&gt;0,(IF(MAX((MAX(B97,C97)-D97)/2,(D97-MAX(B97,C97)))*1.732&gt;270,MAX((MAX(B97,C97)-D97)/2,(#REF!-MAX(B97,C97)))*1.732,270)),""))</f>
        <v/>
      </c>
      <c r="M98" s="83"/>
      <c r="N98" s="83"/>
      <c r="O98" s="103">
        <f>A97</f>
        <v>0</v>
      </c>
      <c r="P98" s="104" t="s">
        <v>39</v>
      </c>
      <c r="Q98" s="104" t="s">
        <v>39</v>
      </c>
      <c r="R98" s="104" t="s">
        <v>40</v>
      </c>
      <c r="S98" s="104" t="s">
        <v>40</v>
      </c>
      <c r="T98" s="104" t="s">
        <v>40</v>
      </c>
      <c r="U98" s="105"/>
      <c r="V98" s="378" t="s">
        <v>27</v>
      </c>
      <c r="W98" s="155" t="s">
        <v>40</v>
      </c>
      <c r="X98" s="379" t="s">
        <v>41</v>
      </c>
      <c r="Y98" s="64"/>
      <c r="Z98" s="64"/>
      <c r="AA98" s="64"/>
      <c r="AB98" s="383"/>
      <c r="AC98" s="64"/>
      <c r="AD98" s="136" t="s">
        <v>15</v>
      </c>
      <c r="AE98" s="136" t="s">
        <v>16</v>
      </c>
      <c r="AF98" s="107"/>
      <c r="AG98" s="104" t="s">
        <v>40</v>
      </c>
      <c r="AH98" s="104" t="s">
        <v>41</v>
      </c>
      <c r="AI98" s="108"/>
      <c r="AJ98" s="109"/>
      <c r="AK98" s="64"/>
      <c r="AL98" s="64"/>
      <c r="AM98" s="64"/>
      <c r="AN98" s="64"/>
      <c r="AO98" s="83" t="str">
        <f>'UC mounting materials '!$B$10</f>
        <v>Rail 30x15</v>
      </c>
      <c r="AP98" s="327">
        <f>IF(AB99&lt;1000,(AB99+100),0)*C99</f>
        <v>0</v>
      </c>
      <c r="AQ98" s="64"/>
      <c r="AR98" s="265" t="s">
        <v>47</v>
      </c>
      <c r="AS98" s="83" t="s">
        <v>23</v>
      </c>
      <c r="AT98" s="273" t="s">
        <v>23</v>
      </c>
      <c r="AU98" s="64"/>
      <c r="AV98" s="64"/>
      <c r="AW98" s="64"/>
    </row>
    <row r="99" spans="1:49" ht="15.75" thickBot="1">
      <c r="A99" s="508"/>
      <c r="B99" s="387" t="s">
        <v>23</v>
      </c>
      <c r="C99" s="95">
        <f>C94</f>
        <v>0</v>
      </c>
      <c r="D99" s="139"/>
      <c r="E99" s="94" t="str">
        <f>IF($C99&gt;0,C99*Q99,"")</f>
        <v/>
      </c>
      <c r="F99" s="141" t="s">
        <v>24</v>
      </c>
      <c r="G99" s="509"/>
      <c r="H99" s="510"/>
      <c r="I99" s="510"/>
      <c r="J99" s="510"/>
      <c r="K99" s="511"/>
      <c r="M99" s="176"/>
      <c r="N99" s="176"/>
      <c r="O99" s="111"/>
      <c r="P99" s="112" t="str">
        <f>IF($C99&gt;0,((2*(B97+C97))*AC99)/1000000,"")</f>
        <v/>
      </c>
      <c r="Q99" s="158" t="str">
        <f>((IF(P99&lt;=informatieblad!$I$15,informatieblad!$I$15,IF(P99&gt;=informatieblad!$I$15,P99))))</f>
        <v/>
      </c>
      <c r="R99" s="112" t="str">
        <f>IF($C99&gt;0,((2*(B97+C97))*AC99)/1000000,"")</f>
        <v/>
      </c>
      <c r="S99" s="112">
        <f>((IF(R99&lt;=informatieblad!$H$15,informatieblad!$H$15,IF(R99&gt;=informatieblad!$H$15,R99))))</f>
        <v>0</v>
      </c>
      <c r="T99" s="113" t="str">
        <f>IF($C99&gt;0,((S99*AG99)+(S99*W99))*C99,"")</f>
        <v/>
      </c>
      <c r="U99" s="114" t="str">
        <f>IF($C99&gt;0,((Q99*AH99)+(Q99*X99))*C99,"")</f>
        <v/>
      </c>
      <c r="V99" s="380">
        <f>G99</f>
        <v>0</v>
      </c>
      <c r="W99" s="115" t="str">
        <f>IF($C99&gt;0,VLOOKUP(G94,informatieblad!$A$37:$D$41,2,FALSE),"")</f>
        <v/>
      </c>
      <c r="X99" s="381">
        <f>VLOOKUP(G94,informatieblad!$A$37:$D$41,4,FALSE)</f>
        <v>0</v>
      </c>
      <c r="Y99" s="64"/>
      <c r="Z99" s="64"/>
      <c r="AA99" s="64"/>
      <c r="AB99" s="384">
        <f>(MAX(B97:C97))</f>
        <v>0</v>
      </c>
      <c r="AC99" s="161">
        <f>(MAX(AE99,AD99))+K86</f>
        <v>1</v>
      </c>
      <c r="AD99" s="162">
        <f>ROUND((SQRT((((MAX(E97,F97))^2)+(K97^2)))),0)</f>
        <v>0</v>
      </c>
      <c r="AE99" s="163">
        <f>ROUND((SQRT((((MAX(G97,H97))^2)+(K97^2)))),0)</f>
        <v>1</v>
      </c>
      <c r="AF99" s="119">
        <f>LOOKUP(AB99,informatieblad!$C$27:$C$32,informatieblad!$A$27:$A$32)</f>
        <v>0.5</v>
      </c>
      <c r="AG99" s="118">
        <f>VLOOKUP(AF99,informatieblad!$A$27:$M$32,6,FALSE)</f>
        <v>0</v>
      </c>
      <c r="AH99" s="118">
        <f>VLOOKUP(AF99,informatieblad!$A$27:$M$32,8,FALSE)</f>
        <v>45.1248</v>
      </c>
      <c r="AI99" s="120">
        <f>VLOOKUP(AF99,informatieblad!$A$27:$M$32,13,FALSE)</f>
        <v>4</v>
      </c>
      <c r="AJ99" s="121" t="e">
        <f>ROUND((AI99*R99),1)</f>
        <v>#VALUE!</v>
      </c>
      <c r="AK99" s="64"/>
      <c r="AL99" s="64"/>
      <c r="AM99" s="64"/>
      <c r="AN99" s="64"/>
      <c r="AO99" s="83" t="str">
        <f>'UC mounting materials '!$B$11</f>
        <v>Rail 41x41</v>
      </c>
      <c r="AP99" s="268">
        <f>IF(AB99&gt;999,(AB99+100),0)*C99</f>
        <v>0</v>
      </c>
      <c r="AQ99" s="64"/>
      <c r="AR99" s="111">
        <f>IF(B98=informatieblad!$A$6,informatieblad!$B$6,IF(B98=informatieblad!$A$7,informatieblad!$B$7,IF(B98=informatieblad!$A$8,informatieblad!$B$8,IF(B98=informatieblad!$A$2,informatieblad!$B$2,IF(B98=informatieblad!$A$3,informatieblad!$B$3,IF(B98=informatieblad!$A$4,informatieblad!$B$4,IF(B98=informatieblad!$A$5,informatieblad!$B$5,"")))))))</f>
        <v>0</v>
      </c>
      <c r="AS99" s="276">
        <f>IF(AR99=AS97,(4*C99),0)</f>
        <v>0</v>
      </c>
      <c r="AT99" s="274">
        <f>IF(AR99=AT97,(4*C99),0)</f>
        <v>0</v>
      </c>
      <c r="AU99" s="64"/>
      <c r="AV99" s="64"/>
      <c r="AW99" s="64"/>
    </row>
    <row r="100" spans="1:49" ht="21.75" thickBot="1">
      <c r="A100" s="386"/>
      <c r="B100" s="122"/>
      <c r="C100" s="336"/>
      <c r="D100" s="122"/>
      <c r="E100" s="122"/>
      <c r="F100" s="122"/>
      <c r="M100" s="176"/>
      <c r="N100" s="176"/>
      <c r="O100" s="83"/>
      <c r="P100" s="142"/>
      <c r="Q100" s="83"/>
      <c r="R100" s="142"/>
      <c r="S100" s="142"/>
      <c r="T100" s="143"/>
      <c r="U100" s="143"/>
      <c r="V100" s="339"/>
      <c r="W100" s="339"/>
      <c r="X100" s="339"/>
      <c r="Y100" s="64"/>
      <c r="Z100" s="64"/>
      <c r="AA100" s="64"/>
      <c r="AB100" s="189"/>
      <c r="AC100" s="166"/>
      <c r="AD100" s="166"/>
      <c r="AE100" s="166"/>
      <c r="AF100" s="83"/>
      <c r="AG100" s="144"/>
      <c r="AH100" s="144"/>
      <c r="AI100" s="142"/>
      <c r="AJ100" s="142"/>
      <c r="AK100" s="64"/>
      <c r="AL100" s="64"/>
      <c r="AM100" s="64"/>
      <c r="AN100" s="64"/>
      <c r="AO100" s="83"/>
      <c r="AP100" s="83"/>
      <c r="AQ100" s="64"/>
      <c r="AR100" s="83"/>
      <c r="AS100" s="83"/>
      <c r="AT100" s="83"/>
      <c r="AU100" s="64"/>
      <c r="AV100" s="64"/>
      <c r="AW100" s="64"/>
    </row>
    <row r="101" spans="1:49" ht="15.75" thickBot="1">
      <c r="A101" s="389" t="s">
        <v>14</v>
      </c>
      <c r="B101" s="390" t="s">
        <v>15</v>
      </c>
      <c r="C101" s="390" t="s">
        <v>16</v>
      </c>
      <c r="D101" s="84" t="s">
        <v>192</v>
      </c>
      <c r="E101" s="167"/>
      <c r="F101" s="167"/>
      <c r="G101" s="167"/>
      <c r="H101" s="167"/>
      <c r="I101" s="167"/>
      <c r="J101" s="167"/>
      <c r="K101" s="196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83"/>
      <c r="AL101" s="83"/>
      <c r="AM101" s="64"/>
      <c r="AN101" s="83"/>
      <c r="AO101" s="64"/>
      <c r="AP101" s="83"/>
      <c r="AQ101" s="64"/>
      <c r="AR101" s="83"/>
      <c r="AS101" s="83"/>
      <c r="AT101" s="83"/>
      <c r="AU101" s="83"/>
      <c r="AV101" s="83"/>
      <c r="AW101" s="83"/>
    </row>
    <row r="102" spans="1:49">
      <c r="A102" s="512">
        <f>A92</f>
        <v>0</v>
      </c>
      <c r="B102" s="388"/>
      <c r="C102" s="388"/>
      <c r="D102" s="388"/>
      <c r="E102" s="515"/>
      <c r="F102" s="516"/>
      <c r="G102" s="516"/>
      <c r="H102" s="517"/>
      <c r="I102" s="394"/>
      <c r="J102" s="394"/>
      <c r="K102" s="395"/>
      <c r="M102" s="64"/>
      <c r="N102" s="64"/>
      <c r="O102" s="97" t="s">
        <v>193</v>
      </c>
      <c r="P102" s="98" t="s">
        <v>27</v>
      </c>
      <c r="Q102" s="98" t="s">
        <v>28</v>
      </c>
      <c r="R102" s="98" t="s">
        <v>27</v>
      </c>
      <c r="S102" s="98" t="s">
        <v>28</v>
      </c>
      <c r="T102" s="98" t="s">
        <v>29</v>
      </c>
      <c r="U102" s="66" t="s">
        <v>30</v>
      </c>
      <c r="V102" s="99" t="s">
        <v>31</v>
      </c>
      <c r="W102" s="99"/>
      <c r="X102" s="99"/>
      <c r="Y102" s="98" t="s">
        <v>32</v>
      </c>
      <c r="Z102" s="98" t="s">
        <v>32</v>
      </c>
      <c r="AA102" s="98"/>
      <c r="AB102" s="98" t="s">
        <v>33</v>
      </c>
      <c r="AC102" s="100" t="s">
        <v>34</v>
      </c>
      <c r="AD102" s="98" t="s">
        <v>32</v>
      </c>
      <c r="AE102" s="98" t="s">
        <v>32</v>
      </c>
      <c r="AF102" s="98" t="s">
        <v>32</v>
      </c>
      <c r="AG102" s="98" t="s">
        <v>32</v>
      </c>
      <c r="AH102" s="98" t="s">
        <v>49</v>
      </c>
      <c r="AI102" s="101" t="s">
        <v>36</v>
      </c>
      <c r="AJ102" s="97" t="str">
        <f>informatieblad!$A$5</f>
        <v>none</v>
      </c>
      <c r="AK102" s="264"/>
      <c r="AL102" s="64"/>
      <c r="AM102" s="266" t="s">
        <v>17</v>
      </c>
      <c r="AN102" s="64"/>
      <c r="AO102" s="64"/>
      <c r="AP102" s="266" t="s">
        <v>37</v>
      </c>
      <c r="AQ102" s="64"/>
      <c r="AR102" s="269" t="s">
        <v>38</v>
      </c>
      <c r="AS102" s="272"/>
      <c r="AT102" s="272">
        <f>informatieblad!$B$3</f>
        <v>0</v>
      </c>
      <c r="AU102" s="272">
        <f>informatieblad!$B$3</f>
        <v>0</v>
      </c>
      <c r="AV102" s="272">
        <f>informatieblad!$B$4</f>
        <v>0</v>
      </c>
      <c r="AW102" s="264">
        <f>informatieblad!$B$4</f>
        <v>0</v>
      </c>
    </row>
    <row r="103" spans="1:49">
      <c r="A103" s="513"/>
      <c r="B103" s="102" t="str">
        <f>B93</f>
        <v>none</v>
      </c>
      <c r="C103" s="102" t="str">
        <f>B93</f>
        <v>none</v>
      </c>
      <c r="D103" s="369"/>
      <c r="E103" s="394"/>
      <c r="F103" s="370"/>
      <c r="G103" s="370"/>
      <c r="H103" s="393"/>
      <c r="I103" s="396"/>
      <c r="J103" s="394"/>
      <c r="K103" s="395"/>
      <c r="M103" s="64"/>
      <c r="N103" s="64"/>
      <c r="O103" s="103">
        <f>A102</f>
        <v>0</v>
      </c>
      <c r="P103" s="104" t="s">
        <v>39</v>
      </c>
      <c r="Q103" s="104" t="s">
        <v>39</v>
      </c>
      <c r="R103" s="104" t="s">
        <v>40</v>
      </c>
      <c r="S103" s="104" t="s">
        <v>40</v>
      </c>
      <c r="T103" s="104" t="s">
        <v>40</v>
      </c>
      <c r="U103" s="105"/>
      <c r="V103" s="106" t="s">
        <v>27</v>
      </c>
      <c r="W103" s="106" t="s">
        <v>40</v>
      </c>
      <c r="X103" s="106" t="s">
        <v>41</v>
      </c>
      <c r="Y103" s="104" t="s">
        <v>42</v>
      </c>
      <c r="Z103" s="104" t="s">
        <v>43</v>
      </c>
      <c r="AA103" s="104"/>
      <c r="AB103" s="104" t="s">
        <v>44</v>
      </c>
      <c r="AC103" s="107"/>
      <c r="AD103" s="104" t="s">
        <v>45</v>
      </c>
      <c r="AE103" s="104" t="s">
        <v>42</v>
      </c>
      <c r="AF103" s="104" t="s">
        <v>43</v>
      </c>
      <c r="AG103" s="104" t="s">
        <v>46</v>
      </c>
      <c r="AH103" s="108"/>
      <c r="AI103" s="109"/>
      <c r="AJ103" s="265"/>
      <c r="AK103" s="105"/>
      <c r="AL103" s="64"/>
      <c r="AM103" s="267"/>
      <c r="AN103" s="64"/>
      <c r="AO103" s="83" t="str">
        <f>'UC mounting materials '!$B$10</f>
        <v>Rail 30x15</v>
      </c>
      <c r="AP103" s="327">
        <f>IF(AB104&lt;1000,(AB104+100),0)*C104</f>
        <v>0</v>
      </c>
      <c r="AQ103" s="64"/>
      <c r="AR103" s="265" t="s">
        <v>47</v>
      </c>
      <c r="AS103" s="106" t="s">
        <v>48</v>
      </c>
      <c r="AT103" s="83" t="s">
        <v>23</v>
      </c>
      <c r="AU103" s="83" t="s">
        <v>23</v>
      </c>
      <c r="AV103" s="83" t="s">
        <v>23</v>
      </c>
      <c r="AW103" s="273" t="s">
        <v>23</v>
      </c>
    </row>
    <row r="104" spans="1:49" ht="15.75" thickBot="1">
      <c r="A104" s="514"/>
      <c r="B104" s="373" t="s">
        <v>23</v>
      </c>
      <c r="C104" s="373">
        <f>C94</f>
        <v>0</v>
      </c>
      <c r="D104" s="372">
        <f>C104*Q104</f>
        <v>0</v>
      </c>
      <c r="E104" s="391">
        <f>C99*O99</f>
        <v>0</v>
      </c>
      <c r="F104" s="392" t="s">
        <v>24</v>
      </c>
      <c r="G104" s="509"/>
      <c r="H104" s="510"/>
      <c r="I104" s="510"/>
      <c r="J104" s="510"/>
      <c r="K104" s="511"/>
      <c r="M104" s="64"/>
      <c r="N104" s="64"/>
      <c r="O104" s="111"/>
      <c r="P104" s="112">
        <f>(((2*(B102+C102))*D102)/1000000)</f>
        <v>0</v>
      </c>
      <c r="Q104" s="112">
        <f>((IF(P104&lt;=informatieblad!$I$12,informatieblad!$I$12,IF(P104&gt;=informatieblad!$I$12,P104))))</f>
        <v>0.5</v>
      </c>
      <c r="R104" s="112">
        <f>(((2*B102)+(2*C102))*D102)/1000000</f>
        <v>0</v>
      </c>
      <c r="S104" s="112">
        <f>((IF(R104&lt;=informatieblad!$H$12,informatieblad!$H$12,IF(R104&gt;=informatieblad!$H$12,R104))))</f>
        <v>0</v>
      </c>
      <c r="T104" s="113">
        <f>IF($C94&gt;0,(S104*Z104)+(S104*W104))*C104</f>
        <v>0</v>
      </c>
      <c r="U104" s="114">
        <f>IF($C94&gt;0,(Q104*Y104)+(Q104*X104))*C104</f>
        <v>0</v>
      </c>
      <c r="V104" s="115">
        <f>I104</f>
        <v>0</v>
      </c>
      <c r="W104" s="116" t="e">
        <f>VLOOKUP(G104,informatieblad!$A$37:$D$41,2,FALSE)</f>
        <v>#N/A</v>
      </c>
      <c r="X104" s="116" t="e">
        <f>VLOOKUP(G104,informatieblad!$A$37:$D$41,4,FALSE)</f>
        <v>#N/A</v>
      </c>
      <c r="Y104" s="117">
        <f>((IF(D102&lt;=900,AE104,IF(D102&gt;=900,AG104))))</f>
        <v>45.1248</v>
      </c>
      <c r="Z104" s="118">
        <f>((IF(D102&lt;=900,AD104,IF(D102&gt;=900,AF104))))</f>
        <v>0</v>
      </c>
      <c r="AA104" s="119"/>
      <c r="AB104" s="119">
        <f>(MAX(B102:C102))</f>
        <v>0</v>
      </c>
      <c r="AC104" s="119">
        <f>LOOKUP(AB104,informatieblad!$C$27:$C$32,informatieblad!$A$27:$A$32)</f>
        <v>0.5</v>
      </c>
      <c r="AD104" s="118">
        <f>VLOOKUP(AC104,informatieblad!$A$27:$M$32,6,FALSE)</f>
        <v>0</v>
      </c>
      <c r="AE104" s="118">
        <f>VLOOKUP(AC104,informatieblad!$A$27:$M$32,8,FALSE)</f>
        <v>45.1248</v>
      </c>
      <c r="AF104" s="118">
        <f>VLOOKUP(AC104,informatieblad!$A$27:$M$32,9,FALSE)</f>
        <v>0</v>
      </c>
      <c r="AG104" s="118">
        <f>VLOOKUP(AC104,informatieblad!$A$27:$M$32,11,FALSE)</f>
        <v>32.463200000000001</v>
      </c>
      <c r="AH104" s="120">
        <f>VLOOKUP(AC104,informatieblad!$A$27:$M$32,13,FALSE)</f>
        <v>4</v>
      </c>
      <c r="AI104" s="121">
        <f>ROUND((AH104*R104),1)</f>
        <v>0</v>
      </c>
      <c r="AJ104" s="111">
        <f>(IF(B103=AJ102,((2*B102)+(2*C102)),0))*C104</f>
        <v>0</v>
      </c>
      <c r="AK104" s="260">
        <f>(IF(C103=AJ102,((2*B102)+(2*C102)),0))*C104</f>
        <v>0</v>
      </c>
      <c r="AL104" s="64"/>
      <c r="AM104" s="268">
        <f>D102*C104</f>
        <v>0</v>
      </c>
      <c r="AN104" s="64"/>
      <c r="AO104" s="83" t="str">
        <f>'UC mounting materials '!$B$11</f>
        <v>Rail 41x41</v>
      </c>
      <c r="AP104" s="268">
        <f>IF(AB104&gt;999,(AB104+100),0)*C104</f>
        <v>0</v>
      </c>
      <c r="AQ104" s="64"/>
      <c r="AR104" s="111">
        <f>IF(B103=informatieblad!$A$6,informatieblad!$B$6,IF(B103=informatieblad!$A$7,informatieblad!$B$7,IF(B103=informatieblad!$A$8,informatieblad!$B$8,IF(B103=informatieblad!$A$2,informatieblad!$B$2,IF(B103=informatieblad!$A$3,informatieblad!$B$3,IF(B103=informatieblad!$A$4,informatieblad!$B$4,IF(B103=informatieblad!$A$5,informatieblad!$B$5,"")))))))</f>
        <v>0</v>
      </c>
      <c r="AS104" s="275">
        <f>IF(C103=informatieblad!$A$6,informatieblad!$B$6,IF(C103=informatieblad!$A$7,informatieblad!$B$7,IF(C103=informatieblad!$A$8,informatieblad!$B$8,IF(C103=informatieblad!$A$2,informatieblad!$B$2,IF(C103=informatieblad!$A$3,informatieblad!$B$3,IF(C103=informatieblad!$A$4,informatieblad!$B$4,IF(C103=informatieblad!$A$5,informatieblad!$B$5,"")))))))</f>
        <v>0</v>
      </c>
      <c r="AT104" s="276">
        <f>IF(AR104=AT102,(4*C104),0)</f>
        <v>0</v>
      </c>
      <c r="AU104" s="276">
        <f>IF(AS104=AT102,(4*C104),0)</f>
        <v>0</v>
      </c>
      <c r="AV104" s="276">
        <f>IF(AR104=AV102,(4*C104),0)</f>
        <v>0</v>
      </c>
      <c r="AW104" s="274">
        <f>IF(AS104=AV102,(4*C104),0)</f>
        <v>0</v>
      </c>
    </row>
    <row r="105" spans="1:49" ht="15.75" thickBot="1">
      <c r="A105" s="122"/>
      <c r="B105" s="122"/>
      <c r="C105" s="122"/>
      <c r="D105" s="122"/>
      <c r="E105" s="122"/>
      <c r="F105" s="122"/>
      <c r="G105" s="122"/>
      <c r="H105" s="122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83"/>
      <c r="AL105" s="83"/>
      <c r="AM105" s="64"/>
      <c r="AN105" s="83"/>
      <c r="AO105" s="64"/>
      <c r="AP105" s="83"/>
      <c r="AQ105" s="83"/>
      <c r="AR105" s="64"/>
      <c r="AS105" s="83"/>
      <c r="AT105" s="83"/>
      <c r="AU105" s="83"/>
      <c r="AV105" s="83"/>
      <c r="AW105" s="83"/>
    </row>
    <row r="106" spans="1:49">
      <c r="O106" s="97" t="s">
        <v>193</v>
      </c>
      <c r="P106" s="98" t="s">
        <v>27</v>
      </c>
      <c r="Q106" s="98" t="s">
        <v>28</v>
      </c>
      <c r="R106" s="98" t="s">
        <v>27</v>
      </c>
      <c r="S106" s="98" t="s">
        <v>28</v>
      </c>
      <c r="T106" s="98" t="s">
        <v>29</v>
      </c>
      <c r="U106" s="66" t="s">
        <v>30</v>
      </c>
    </row>
    <row r="107" spans="1:49">
      <c r="O107" s="103">
        <f>A92</f>
        <v>0</v>
      </c>
      <c r="P107" s="104" t="s">
        <v>39</v>
      </c>
      <c r="Q107" s="104" t="s">
        <v>39</v>
      </c>
      <c r="R107" s="104" t="s">
        <v>40</v>
      </c>
      <c r="S107" s="104" t="s">
        <v>40</v>
      </c>
      <c r="T107" s="104" t="s">
        <v>40</v>
      </c>
      <c r="U107" s="105"/>
    </row>
    <row r="108" spans="1:49" ht="15.75" thickBot="1">
      <c r="O108" s="111"/>
      <c r="P108" s="112">
        <f t="shared" ref="P108:U108" si="4">SUM(P94,P99,P104)</f>
        <v>0</v>
      </c>
      <c r="Q108" s="112">
        <f t="shared" si="4"/>
        <v>0.5</v>
      </c>
      <c r="R108" s="112">
        <f t="shared" si="4"/>
        <v>0</v>
      </c>
      <c r="S108" s="112">
        <f t="shared" si="4"/>
        <v>0</v>
      </c>
      <c r="T108" s="113">
        <f t="shared" si="4"/>
        <v>0</v>
      </c>
      <c r="U108" s="114">
        <f t="shared" si="4"/>
        <v>0</v>
      </c>
    </row>
    <row r="109" spans="1:49" ht="15.75" thickBot="1">
      <c r="A109" s="403"/>
      <c r="B109" s="404"/>
      <c r="C109" s="404"/>
      <c r="D109" s="404"/>
      <c r="E109" s="404"/>
      <c r="F109" s="404"/>
      <c r="G109" s="404"/>
      <c r="H109" s="404"/>
      <c r="I109" s="404"/>
      <c r="J109" s="404"/>
    </row>
    <row r="110" spans="1:49" ht="15.75" thickBot="1">
      <c r="A110" s="78" t="s">
        <v>14</v>
      </c>
      <c r="B110" s="79" t="s">
        <v>15</v>
      </c>
      <c r="C110" s="79" t="s">
        <v>16</v>
      </c>
      <c r="D110" s="79" t="s">
        <v>101</v>
      </c>
      <c r="E110" s="79" t="s">
        <v>183</v>
      </c>
      <c r="F110" s="79" t="s">
        <v>184</v>
      </c>
      <c r="G110" s="79" t="s">
        <v>185</v>
      </c>
      <c r="H110" s="79" t="s">
        <v>186</v>
      </c>
      <c r="I110" s="79" t="s">
        <v>117</v>
      </c>
      <c r="J110" s="79" t="s">
        <v>118</v>
      </c>
      <c r="K110" s="125" t="s">
        <v>187</v>
      </c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</row>
    <row r="111" spans="1:49" ht="15.75" thickBot="1">
      <c r="A111" s="445"/>
      <c r="B111" s="167" t="str">
        <f>IF($C113&gt;0,$B121-5,"")</f>
        <v/>
      </c>
      <c r="C111" s="167" t="str">
        <f>IF($C113&gt;0,$C121-5,"")</f>
        <v/>
      </c>
      <c r="D111" s="96"/>
      <c r="E111" s="96" t="str">
        <f>IF($C113&gt;0,(B111-D111)/2,"")</f>
        <v/>
      </c>
      <c r="F111" s="167" t="str">
        <f>IF($C113&gt;0,B111-D111-E111,"")</f>
        <v/>
      </c>
      <c r="G111" s="96">
        <v>2</v>
      </c>
      <c r="H111" s="167" t="str">
        <f>IF($C113&gt;0,C111-D111-G111,"")</f>
        <v/>
      </c>
      <c r="I111" s="300" t="str">
        <f>IF($C113&gt;0,$K$10,"")</f>
        <v/>
      </c>
      <c r="J111" s="300" t="str">
        <f>IF($C113&gt;0,$K$11,"")</f>
        <v/>
      </c>
      <c r="K111" s="178"/>
      <c r="L111" s="345" t="s">
        <v>20</v>
      </c>
      <c r="M111" s="375"/>
      <c r="N111" s="375"/>
      <c r="O111" s="97" t="s">
        <v>14</v>
      </c>
      <c r="P111" s="98" t="s">
        <v>27</v>
      </c>
      <c r="Q111" s="98" t="s">
        <v>28</v>
      </c>
      <c r="R111" s="98" t="s">
        <v>27</v>
      </c>
      <c r="S111" s="98" t="s">
        <v>28</v>
      </c>
      <c r="T111" s="98" t="s">
        <v>29</v>
      </c>
      <c r="U111" s="66" t="s">
        <v>30</v>
      </c>
      <c r="V111" s="376" t="s">
        <v>31</v>
      </c>
      <c r="W111" s="153"/>
      <c r="X111" s="377"/>
      <c r="Y111" s="64"/>
      <c r="Z111" s="64"/>
      <c r="AA111" s="64"/>
      <c r="AB111" s="382" t="s">
        <v>83</v>
      </c>
      <c r="AC111" s="98" t="s">
        <v>84</v>
      </c>
      <c r="AD111" s="98" t="s">
        <v>93</v>
      </c>
      <c r="AE111" s="100" t="s">
        <v>94</v>
      </c>
      <c r="AF111" s="100" t="s">
        <v>34</v>
      </c>
      <c r="AG111" s="98" t="s">
        <v>32</v>
      </c>
      <c r="AH111" s="98" t="s">
        <v>32</v>
      </c>
      <c r="AI111" s="98" t="s">
        <v>50</v>
      </c>
      <c r="AJ111" s="101" t="s">
        <v>36</v>
      </c>
      <c r="AK111" s="64"/>
      <c r="AL111" s="64"/>
      <c r="AM111" s="64"/>
      <c r="AN111" s="64"/>
      <c r="AO111" s="64"/>
      <c r="AP111" s="266" t="s">
        <v>37</v>
      </c>
      <c r="AQ111" s="64"/>
      <c r="AR111" s="269" t="s">
        <v>38</v>
      </c>
      <c r="AS111" s="272">
        <f>informatieblad!$B$3</f>
        <v>0</v>
      </c>
      <c r="AT111" s="264">
        <f>informatieblad!$B$4</f>
        <v>0</v>
      </c>
      <c r="AU111" s="64"/>
      <c r="AV111" s="64"/>
      <c r="AW111" s="64"/>
    </row>
    <row r="112" spans="1:49">
      <c r="A112" s="481"/>
      <c r="B112" s="482" t="str">
        <f>informatieblad!A5</f>
        <v>none</v>
      </c>
      <c r="C112" s="483"/>
      <c r="D112" s="397" t="str">
        <f>A111&amp;"-"&amp;informatieblad!$B$22&amp;"-"&amp;B121&amp;"-"&amp;C121&amp;"-"&amp;D121&amp;"-"&amp;K111&amp;"-"&amp;K116&amp;"-"&amp;D111&amp;"-"&amp;D116&amp;"-"&amp;B112&amp;"-"&amp;G113</f>
        <v>-RctK--------none-Options None</v>
      </c>
      <c r="E112" s="174"/>
      <c r="F112" s="174"/>
      <c r="G112" s="174"/>
      <c r="H112" s="469" t="s">
        <v>82</v>
      </c>
      <c r="I112" s="470"/>
      <c r="J112" s="470"/>
      <c r="K112" s="191" t="str">
        <f>(IF($C113&gt;0,(IF(MAX((MAX(B111,C111)-D111)/2,(D111-MAX(B111,C111)))*1.732&gt;270,MAX((MAX(B111,C111)-D111)/2,(#REF!-MAX(B111,C111)))*1.732,270)),""))</f>
        <v/>
      </c>
      <c r="L112" s="83"/>
      <c r="M112" s="83"/>
      <c r="N112" s="83"/>
      <c r="O112" s="103">
        <f>A111</f>
        <v>0</v>
      </c>
      <c r="P112" s="104" t="s">
        <v>39</v>
      </c>
      <c r="Q112" s="104" t="s">
        <v>39</v>
      </c>
      <c r="R112" s="104" t="s">
        <v>40</v>
      </c>
      <c r="S112" s="104" t="s">
        <v>40</v>
      </c>
      <c r="T112" s="104" t="s">
        <v>40</v>
      </c>
      <c r="U112" s="105"/>
      <c r="V112" s="378" t="s">
        <v>27</v>
      </c>
      <c r="W112" s="155" t="s">
        <v>40</v>
      </c>
      <c r="X112" s="379" t="s">
        <v>41</v>
      </c>
      <c r="Y112" s="64"/>
      <c r="Z112" s="64"/>
      <c r="AA112" s="64"/>
      <c r="AB112" s="383"/>
      <c r="AC112" s="64"/>
      <c r="AD112" s="136" t="s">
        <v>15</v>
      </c>
      <c r="AE112" s="136" t="s">
        <v>16</v>
      </c>
      <c r="AF112" s="107"/>
      <c r="AG112" s="104" t="s">
        <v>40</v>
      </c>
      <c r="AH112" s="104" t="s">
        <v>41</v>
      </c>
      <c r="AI112" s="108"/>
      <c r="AJ112" s="109"/>
      <c r="AK112" s="64"/>
      <c r="AL112" s="64"/>
      <c r="AM112" s="64"/>
      <c r="AN112" s="64"/>
      <c r="AO112" s="83" t="str">
        <f>'UC mounting materials '!$B$10</f>
        <v>Rail 30x15</v>
      </c>
      <c r="AP112" s="327">
        <f>IF(AB113&lt;1000,(AB113+100),0)*C113</f>
        <v>0</v>
      </c>
      <c r="AQ112" s="64"/>
      <c r="AR112" s="265" t="s">
        <v>47</v>
      </c>
      <c r="AS112" s="83" t="s">
        <v>23</v>
      </c>
      <c r="AT112" s="273" t="s">
        <v>23</v>
      </c>
      <c r="AU112" s="64"/>
      <c r="AV112" s="64"/>
      <c r="AW112" s="64"/>
    </row>
    <row r="113" spans="1:49" ht="15.75" thickBot="1">
      <c r="A113" s="476"/>
      <c r="B113" s="186" t="s">
        <v>23</v>
      </c>
      <c r="C113" s="110"/>
      <c r="D113" s="139"/>
      <c r="E113" s="94" t="str">
        <f>IF($C113&gt;0,C113*Q113,"")</f>
        <v/>
      </c>
      <c r="F113" s="141" t="s">
        <v>24</v>
      </c>
      <c r="G113" s="451" t="s">
        <v>25</v>
      </c>
      <c r="H113" s="484"/>
      <c r="I113" s="484"/>
      <c r="J113" s="484"/>
      <c r="K113" s="485"/>
      <c r="L113" s="176"/>
      <c r="M113" s="176"/>
      <c r="N113" s="176"/>
      <c r="O113" s="111"/>
      <c r="P113" s="112" t="str">
        <f>IF($C113&gt;0,((2*(B111+C111))*AC113)/1000000,"")</f>
        <v/>
      </c>
      <c r="Q113" s="158" t="str">
        <f>((IF(P113&lt;=informatieblad!$I$15,informatieblad!$I$15,IF(P113&gt;=informatieblad!$I$15,P113))))</f>
        <v/>
      </c>
      <c r="R113" s="112" t="str">
        <f>IF($C113&gt;0,((2*(B111+C111))*AC113)/1000000,"")</f>
        <v/>
      </c>
      <c r="S113" s="112">
        <f>((IF(R113&lt;=informatieblad!$H$15,informatieblad!$H$15,IF(R113&gt;=informatieblad!$H$15,R113))))</f>
        <v>0</v>
      </c>
      <c r="T113" s="113" t="str">
        <f>IF($C113&gt;0,((S113*AG113)+(S113*W113))*C113,"")</f>
        <v/>
      </c>
      <c r="U113" s="114" t="str">
        <f>IF($C113&gt;0,((Q113*AH113)+(Q113*X113))*C113,"")</f>
        <v/>
      </c>
      <c r="V113" s="380" t="str">
        <f>G113</f>
        <v>Options None</v>
      </c>
      <c r="W113" s="115" t="str">
        <f>IF($C113&gt;0,VLOOKUP(G113,informatieblad!$A$37:$D$41,2,FALSE),"")</f>
        <v/>
      </c>
      <c r="X113" s="381">
        <f>VLOOKUP(G113,informatieblad!$A$37:$D$41,4,FALSE)</f>
        <v>0</v>
      </c>
      <c r="Y113" s="64"/>
      <c r="Z113" s="64"/>
      <c r="AA113" s="64"/>
      <c r="AB113" s="384">
        <f>(MAX(B111:C111))</f>
        <v>0</v>
      </c>
      <c r="AC113" s="161">
        <f>(MAX(AE113,AD113))+K105</f>
        <v>2</v>
      </c>
      <c r="AD113" s="162">
        <f>ROUND((SQRT((((MAX(E111,F111))^2)+(K111^2)))),0)</f>
        <v>0</v>
      </c>
      <c r="AE113" s="163">
        <f>ROUND((SQRT((((MAX(G111,H111))^2)+(K111^2)))),0)</f>
        <v>2</v>
      </c>
      <c r="AF113" s="119">
        <f>LOOKUP(AB113,informatieblad!$C$27:$C$32,informatieblad!$A$27:$A$32)</f>
        <v>0.5</v>
      </c>
      <c r="AG113" s="118">
        <f>VLOOKUP(AF113,informatieblad!$A$27:$M$32,6,FALSE)</f>
        <v>0</v>
      </c>
      <c r="AH113" s="118">
        <f>VLOOKUP(AF113,informatieblad!$A$27:$M$32,8,FALSE)</f>
        <v>45.1248</v>
      </c>
      <c r="AI113" s="120">
        <f>VLOOKUP(AF113,informatieblad!$A$27:$M$32,13,FALSE)</f>
        <v>4</v>
      </c>
      <c r="AJ113" s="121" t="e">
        <f>ROUND((AI113*R113),1)</f>
        <v>#VALUE!</v>
      </c>
      <c r="AK113" s="64"/>
      <c r="AL113" s="64"/>
      <c r="AM113" s="64"/>
      <c r="AN113" s="64"/>
      <c r="AO113" s="83" t="str">
        <f>'UC mounting materials '!$B$11</f>
        <v>Rail 41x41</v>
      </c>
      <c r="AP113" s="268">
        <f>IF(AB113&gt;999,(AB113+100),0)*C113</f>
        <v>0</v>
      </c>
      <c r="AQ113" s="64"/>
      <c r="AR113" s="111">
        <f>IF(B112=informatieblad!$A$6,informatieblad!$B$6,IF(B112=informatieblad!$A$7,informatieblad!$B$7,IF(B112=informatieblad!$A$8,informatieblad!$B$8,IF(B112=informatieblad!$A$2,informatieblad!$B$2,IF(B112=informatieblad!$A$3,informatieblad!$B$3,IF(B112=informatieblad!$A$4,informatieblad!$B$4,IF(B112=informatieblad!$A$5,informatieblad!$B$5,"")))))))</f>
        <v>0</v>
      </c>
      <c r="AS113" s="276">
        <f>IF(AR113=AS111,(4*C113),0)</f>
        <v>0</v>
      </c>
      <c r="AT113" s="274">
        <f>IF(AR113=AT111,(4*C113),0)</f>
        <v>0</v>
      </c>
      <c r="AU113" s="64"/>
      <c r="AV113" s="64"/>
      <c r="AW113" s="64"/>
    </row>
    <row r="114" spans="1:49" ht="21.75" thickBot="1">
      <c r="A114" s="385"/>
      <c r="B114" s="122"/>
      <c r="C114" s="336"/>
      <c r="D114" s="122"/>
      <c r="E114" s="122"/>
      <c r="F114" s="122"/>
      <c r="M114" s="176"/>
      <c r="N114" s="176"/>
      <c r="O114" s="83"/>
      <c r="P114" s="142"/>
      <c r="Q114" s="83"/>
      <c r="R114" s="142"/>
      <c r="S114" s="142"/>
      <c r="T114" s="143"/>
      <c r="U114" s="143"/>
      <c r="V114" s="339"/>
      <c r="W114" s="339"/>
      <c r="X114" s="339"/>
      <c r="Y114" s="64"/>
      <c r="Z114" s="64"/>
      <c r="AA114" s="64"/>
      <c r="AB114" s="189"/>
      <c r="AC114" s="166"/>
      <c r="AD114" s="166"/>
      <c r="AE114" s="166"/>
      <c r="AF114" s="83"/>
      <c r="AG114" s="144"/>
      <c r="AH114" s="144"/>
      <c r="AI114" s="142"/>
      <c r="AJ114" s="142"/>
      <c r="AK114" s="64"/>
      <c r="AL114" s="64"/>
      <c r="AM114" s="64"/>
      <c r="AN114" s="64"/>
      <c r="AO114" s="83"/>
      <c r="AP114" s="83"/>
      <c r="AQ114" s="64"/>
      <c r="AR114" s="83"/>
      <c r="AS114" s="83"/>
      <c r="AT114" s="83"/>
      <c r="AU114" s="64"/>
      <c r="AV114" s="64"/>
      <c r="AW114" s="64"/>
    </row>
    <row r="115" spans="1:49" ht="15.75" thickBot="1">
      <c r="A115" s="78" t="s">
        <v>14</v>
      </c>
      <c r="B115" s="79" t="s">
        <v>15</v>
      </c>
      <c r="C115" s="79" t="s">
        <v>16</v>
      </c>
      <c r="D115" s="79" t="s">
        <v>102</v>
      </c>
      <c r="E115" s="79" t="s">
        <v>172</v>
      </c>
      <c r="F115" s="79" t="s">
        <v>188</v>
      </c>
      <c r="G115" s="79" t="s">
        <v>189</v>
      </c>
      <c r="H115" s="79" t="s">
        <v>190</v>
      </c>
      <c r="I115" s="79" t="s">
        <v>117</v>
      </c>
      <c r="J115" s="79" t="s">
        <v>118</v>
      </c>
      <c r="K115" s="125" t="s">
        <v>191</v>
      </c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</row>
    <row r="116" spans="1:49">
      <c r="A116" s="454">
        <f>A111</f>
        <v>0</v>
      </c>
      <c r="B116" s="167" t="str">
        <f>IF($C113&gt;0,$B121-5,"")</f>
        <v/>
      </c>
      <c r="C116" s="167" t="str">
        <f>IF($C113&gt;0,$C121-5,"")</f>
        <v/>
      </c>
      <c r="D116" s="96"/>
      <c r="E116" s="96" t="str">
        <f>IF($C118&gt;0,(B116-D116)/2,"")</f>
        <v/>
      </c>
      <c r="F116" s="167" t="str">
        <f>IF($C118&gt;0,B116-D116-E116,"")</f>
        <v/>
      </c>
      <c r="G116" s="96">
        <v>2</v>
      </c>
      <c r="H116" s="167" t="str">
        <f>IF($C118&gt;0,C116-D116-G116,"")</f>
        <v/>
      </c>
      <c r="I116" s="300" t="str">
        <f>IF($C113&gt;0,$K$10,"")</f>
        <v/>
      </c>
      <c r="J116" s="300" t="str">
        <f>IF($C113&gt;0,$K$11,"")</f>
        <v/>
      </c>
      <c r="K116" s="178"/>
      <c r="M116" s="375"/>
      <c r="N116" s="375"/>
      <c r="O116" s="97" t="s">
        <v>14</v>
      </c>
      <c r="P116" s="98" t="s">
        <v>27</v>
      </c>
      <c r="Q116" s="98" t="s">
        <v>28</v>
      </c>
      <c r="R116" s="98" t="s">
        <v>27</v>
      </c>
      <c r="S116" s="98" t="s">
        <v>28</v>
      </c>
      <c r="T116" s="98" t="s">
        <v>29</v>
      </c>
      <c r="U116" s="66" t="s">
        <v>30</v>
      </c>
      <c r="V116" s="376" t="s">
        <v>31</v>
      </c>
      <c r="W116" s="153"/>
      <c r="X116" s="377"/>
      <c r="Y116" s="64"/>
      <c r="Z116" s="64"/>
      <c r="AA116" s="64"/>
      <c r="AB116" s="382" t="s">
        <v>83</v>
      </c>
      <c r="AC116" s="98" t="s">
        <v>84</v>
      </c>
      <c r="AD116" s="98" t="s">
        <v>93</v>
      </c>
      <c r="AE116" s="100" t="s">
        <v>94</v>
      </c>
      <c r="AF116" s="100" t="s">
        <v>34</v>
      </c>
      <c r="AG116" s="98" t="s">
        <v>32</v>
      </c>
      <c r="AH116" s="98" t="s">
        <v>32</v>
      </c>
      <c r="AI116" s="98" t="s">
        <v>50</v>
      </c>
      <c r="AJ116" s="101" t="s">
        <v>36</v>
      </c>
      <c r="AK116" s="64"/>
      <c r="AL116" s="64"/>
      <c r="AM116" s="64"/>
      <c r="AN116" s="64"/>
      <c r="AO116" s="64"/>
      <c r="AP116" s="266" t="s">
        <v>37</v>
      </c>
      <c r="AQ116" s="64"/>
      <c r="AR116" s="269" t="s">
        <v>38</v>
      </c>
      <c r="AS116" s="272">
        <f>informatieblad!$B$3</f>
        <v>0</v>
      </c>
      <c r="AT116" s="264">
        <f>informatieblad!$B$4</f>
        <v>0</v>
      </c>
      <c r="AU116" s="64"/>
      <c r="AV116" s="64"/>
      <c r="AW116" s="64"/>
    </row>
    <row r="117" spans="1:49">
      <c r="A117" s="507"/>
      <c r="B117" s="482" t="str">
        <f>B112</f>
        <v>none</v>
      </c>
      <c r="C117" s="483"/>
      <c r="D117" s="397"/>
      <c r="E117" s="174"/>
      <c r="F117" s="174"/>
      <c r="G117" s="174"/>
      <c r="H117" s="469" t="s">
        <v>82</v>
      </c>
      <c r="I117" s="470"/>
      <c r="J117" s="470"/>
      <c r="K117" s="191" t="str">
        <f>(IF($C118&gt;0,(IF(MAX((MAX(B116,C116)-D116)/2,(D116-MAX(B116,C116)))*1.732&gt;270,MAX((MAX(B116,C116)-D116)/2,(#REF!-MAX(B116,C116)))*1.732,270)),""))</f>
        <v/>
      </c>
      <c r="M117" s="83"/>
      <c r="N117" s="83"/>
      <c r="O117" s="103">
        <f>A116</f>
        <v>0</v>
      </c>
      <c r="P117" s="104" t="s">
        <v>39</v>
      </c>
      <c r="Q117" s="104" t="s">
        <v>39</v>
      </c>
      <c r="R117" s="104" t="s">
        <v>40</v>
      </c>
      <c r="S117" s="104" t="s">
        <v>40</v>
      </c>
      <c r="T117" s="104" t="s">
        <v>40</v>
      </c>
      <c r="U117" s="105"/>
      <c r="V117" s="378" t="s">
        <v>27</v>
      </c>
      <c r="W117" s="155" t="s">
        <v>40</v>
      </c>
      <c r="X117" s="379" t="s">
        <v>41</v>
      </c>
      <c r="Y117" s="64"/>
      <c r="Z117" s="64"/>
      <c r="AA117" s="64"/>
      <c r="AB117" s="383"/>
      <c r="AC117" s="64"/>
      <c r="AD117" s="136" t="s">
        <v>15</v>
      </c>
      <c r="AE117" s="136" t="s">
        <v>16</v>
      </c>
      <c r="AF117" s="107"/>
      <c r="AG117" s="104" t="s">
        <v>40</v>
      </c>
      <c r="AH117" s="104" t="s">
        <v>41</v>
      </c>
      <c r="AI117" s="108"/>
      <c r="AJ117" s="109"/>
      <c r="AK117" s="64"/>
      <c r="AL117" s="64"/>
      <c r="AM117" s="64"/>
      <c r="AN117" s="64"/>
      <c r="AO117" s="83" t="str">
        <f>'UC mounting materials '!$B$10</f>
        <v>Rail 30x15</v>
      </c>
      <c r="AP117" s="327">
        <f>IF(AB118&lt;1000,(AB118+100),0)*C118</f>
        <v>0</v>
      </c>
      <c r="AQ117" s="64"/>
      <c r="AR117" s="265" t="s">
        <v>47</v>
      </c>
      <c r="AS117" s="83" t="s">
        <v>23</v>
      </c>
      <c r="AT117" s="273" t="s">
        <v>23</v>
      </c>
      <c r="AU117" s="64"/>
      <c r="AV117" s="64"/>
      <c r="AW117" s="64"/>
    </row>
    <row r="118" spans="1:49" ht="15.75" thickBot="1">
      <c r="A118" s="508"/>
      <c r="B118" s="387" t="s">
        <v>23</v>
      </c>
      <c r="C118" s="95">
        <f>C113</f>
        <v>0</v>
      </c>
      <c r="D118" s="139"/>
      <c r="E118" s="94" t="str">
        <f>IF($C118&gt;0,C118*Q118,"")</f>
        <v/>
      </c>
      <c r="F118" s="141" t="s">
        <v>24</v>
      </c>
      <c r="G118" s="509"/>
      <c r="H118" s="510"/>
      <c r="I118" s="510"/>
      <c r="J118" s="510"/>
      <c r="K118" s="511"/>
      <c r="M118" s="176"/>
      <c r="N118" s="176"/>
      <c r="O118" s="111"/>
      <c r="P118" s="112" t="str">
        <f>IF($C118&gt;0,((2*(B116+C116))*AC118)/1000000,"")</f>
        <v/>
      </c>
      <c r="Q118" s="158" t="str">
        <f>((IF(P118&lt;=informatieblad!$I$15,informatieblad!$I$15,IF(P118&gt;=informatieblad!$I$15,P118))))</f>
        <v/>
      </c>
      <c r="R118" s="112" t="str">
        <f>IF($C118&gt;0,((2*(B116+C116))*AC118)/1000000,"")</f>
        <v/>
      </c>
      <c r="S118" s="112">
        <f>((IF(R118&lt;=informatieblad!$H$15,informatieblad!$H$15,IF(R118&gt;=informatieblad!$H$15,R118))))</f>
        <v>0</v>
      </c>
      <c r="T118" s="113" t="str">
        <f>IF($C118&gt;0,((S118*AG118)+(S118*W118))*C118,"")</f>
        <v/>
      </c>
      <c r="U118" s="114" t="str">
        <f>IF($C118&gt;0,((Q118*AH118)+(Q118*X118))*C118,"")</f>
        <v/>
      </c>
      <c r="V118" s="380">
        <f>G118</f>
        <v>0</v>
      </c>
      <c r="W118" s="115" t="str">
        <f>IF($C118&gt;0,VLOOKUP(G113,informatieblad!$A$37:$D$41,2,FALSE),"")</f>
        <v/>
      </c>
      <c r="X118" s="381">
        <f>VLOOKUP(G113,informatieblad!$A$37:$D$41,4,FALSE)</f>
        <v>0</v>
      </c>
      <c r="Y118" s="64"/>
      <c r="Z118" s="64"/>
      <c r="AA118" s="64"/>
      <c r="AB118" s="384">
        <f>(MAX(B116:C116))</f>
        <v>0</v>
      </c>
      <c r="AC118" s="161">
        <f>(MAX(AE118,AD118))+K105</f>
        <v>2</v>
      </c>
      <c r="AD118" s="162">
        <f>ROUND((SQRT((((MAX(E116,F116))^2)+(K116^2)))),0)</f>
        <v>0</v>
      </c>
      <c r="AE118" s="163">
        <f>ROUND((SQRT((((MAX(G116,H116))^2)+(K116^2)))),0)</f>
        <v>2</v>
      </c>
      <c r="AF118" s="119">
        <f>LOOKUP(AB118,informatieblad!$C$27:$C$32,informatieblad!$A$27:$A$32)</f>
        <v>0.5</v>
      </c>
      <c r="AG118" s="118">
        <f>VLOOKUP(AF118,informatieblad!$A$27:$M$32,6,FALSE)</f>
        <v>0</v>
      </c>
      <c r="AH118" s="118">
        <f>VLOOKUP(AF118,informatieblad!$A$27:$M$32,8,FALSE)</f>
        <v>45.1248</v>
      </c>
      <c r="AI118" s="120">
        <f>VLOOKUP(AF118,informatieblad!$A$27:$M$32,13,FALSE)</f>
        <v>4</v>
      </c>
      <c r="AJ118" s="121" t="e">
        <f>ROUND((AI118*R118),1)</f>
        <v>#VALUE!</v>
      </c>
      <c r="AK118" s="64"/>
      <c r="AL118" s="64"/>
      <c r="AM118" s="64"/>
      <c r="AN118" s="64"/>
      <c r="AO118" s="83" t="str">
        <f>'UC mounting materials '!$B$11</f>
        <v>Rail 41x41</v>
      </c>
      <c r="AP118" s="268">
        <f>IF(AB118&gt;999,(AB118+100),0)*C118</f>
        <v>0</v>
      </c>
      <c r="AQ118" s="64"/>
      <c r="AR118" s="111">
        <f>IF(B117=informatieblad!$A$6,informatieblad!$B$6,IF(B117=informatieblad!$A$7,informatieblad!$B$7,IF(B117=informatieblad!$A$8,informatieblad!$B$8,IF(B117=informatieblad!$A$2,informatieblad!$B$2,IF(B117=informatieblad!$A$3,informatieblad!$B$3,IF(B117=informatieblad!$A$4,informatieblad!$B$4,IF(B117=informatieblad!$A$5,informatieblad!$B$5,"")))))))</f>
        <v>0</v>
      </c>
      <c r="AS118" s="276">
        <f>IF(AR118=AS116,(4*C118),0)</f>
        <v>0</v>
      </c>
      <c r="AT118" s="274">
        <f>IF(AR118=AT116,(4*C118),0)</f>
        <v>0</v>
      </c>
      <c r="AU118" s="64"/>
      <c r="AV118" s="64"/>
      <c r="AW118" s="64"/>
    </row>
    <row r="119" spans="1:49" ht="21.75" thickBot="1">
      <c r="A119" s="386"/>
      <c r="B119" s="122"/>
      <c r="C119" s="336"/>
      <c r="D119" s="122"/>
      <c r="E119" s="122"/>
      <c r="F119" s="122"/>
      <c r="M119" s="176"/>
      <c r="N119" s="176"/>
      <c r="O119" s="83"/>
      <c r="P119" s="142"/>
      <c r="Q119" s="83"/>
      <c r="R119" s="142"/>
      <c r="S119" s="142"/>
      <c r="T119" s="143"/>
      <c r="U119" s="143"/>
      <c r="V119" s="339"/>
      <c r="W119" s="339"/>
      <c r="X119" s="339"/>
      <c r="Y119" s="64"/>
      <c r="Z119" s="64"/>
      <c r="AA119" s="64"/>
      <c r="AB119" s="189"/>
      <c r="AC119" s="166"/>
      <c r="AD119" s="166"/>
      <c r="AE119" s="166"/>
      <c r="AF119" s="83"/>
      <c r="AG119" s="144"/>
      <c r="AH119" s="144"/>
      <c r="AI119" s="142"/>
      <c r="AJ119" s="142"/>
      <c r="AK119" s="64"/>
      <c r="AL119" s="64"/>
      <c r="AM119" s="64"/>
      <c r="AN119" s="64"/>
      <c r="AO119" s="83"/>
      <c r="AP119" s="83"/>
      <c r="AQ119" s="64"/>
      <c r="AR119" s="83"/>
      <c r="AS119" s="83"/>
      <c r="AT119" s="83"/>
      <c r="AU119" s="64"/>
      <c r="AV119" s="64"/>
      <c r="AW119" s="64"/>
    </row>
    <row r="120" spans="1:49" ht="15.75" thickBot="1">
      <c r="A120" s="389" t="s">
        <v>14</v>
      </c>
      <c r="B120" s="390" t="s">
        <v>15</v>
      </c>
      <c r="C120" s="390" t="s">
        <v>16</v>
      </c>
      <c r="D120" s="84" t="s">
        <v>192</v>
      </c>
      <c r="E120" s="167"/>
      <c r="F120" s="167"/>
      <c r="G120" s="167"/>
      <c r="H120" s="167"/>
      <c r="I120" s="167"/>
      <c r="J120" s="167"/>
      <c r="K120" s="196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83"/>
      <c r="AL120" s="83"/>
      <c r="AM120" s="64"/>
      <c r="AN120" s="83"/>
      <c r="AO120" s="64"/>
      <c r="AP120" s="83"/>
      <c r="AQ120" s="64"/>
      <c r="AR120" s="83"/>
      <c r="AS120" s="83"/>
      <c r="AT120" s="83"/>
      <c r="AU120" s="83"/>
      <c r="AV120" s="83"/>
      <c r="AW120" s="83"/>
    </row>
    <row r="121" spans="1:49">
      <c r="A121" s="512">
        <f>A111</f>
        <v>0</v>
      </c>
      <c r="B121" s="388"/>
      <c r="C121" s="388"/>
      <c r="D121" s="388"/>
      <c r="E121" s="515"/>
      <c r="F121" s="516"/>
      <c r="G121" s="516"/>
      <c r="H121" s="517"/>
      <c r="I121" s="394"/>
      <c r="J121" s="394"/>
      <c r="K121" s="395"/>
      <c r="M121" s="64"/>
      <c r="N121" s="64"/>
      <c r="O121" s="97" t="s">
        <v>193</v>
      </c>
      <c r="P121" s="98" t="s">
        <v>27</v>
      </c>
      <c r="Q121" s="98" t="s">
        <v>28</v>
      </c>
      <c r="R121" s="98" t="s">
        <v>27</v>
      </c>
      <c r="S121" s="98" t="s">
        <v>28</v>
      </c>
      <c r="T121" s="98" t="s">
        <v>29</v>
      </c>
      <c r="U121" s="66" t="s">
        <v>30</v>
      </c>
      <c r="V121" s="99" t="s">
        <v>31</v>
      </c>
      <c r="W121" s="99"/>
      <c r="X121" s="99"/>
      <c r="Y121" s="98" t="s">
        <v>32</v>
      </c>
      <c r="Z121" s="98" t="s">
        <v>32</v>
      </c>
      <c r="AA121" s="98"/>
      <c r="AB121" s="98" t="s">
        <v>33</v>
      </c>
      <c r="AC121" s="100" t="s">
        <v>34</v>
      </c>
      <c r="AD121" s="98" t="s">
        <v>32</v>
      </c>
      <c r="AE121" s="98" t="s">
        <v>32</v>
      </c>
      <c r="AF121" s="98" t="s">
        <v>32</v>
      </c>
      <c r="AG121" s="98" t="s">
        <v>32</v>
      </c>
      <c r="AH121" s="98" t="s">
        <v>50</v>
      </c>
      <c r="AI121" s="101" t="s">
        <v>36</v>
      </c>
      <c r="AJ121" s="97" t="str">
        <f>informatieblad!$A$5</f>
        <v>none</v>
      </c>
      <c r="AK121" s="264"/>
      <c r="AL121" s="64"/>
      <c r="AM121" s="266" t="s">
        <v>17</v>
      </c>
      <c r="AN121" s="64"/>
      <c r="AO121" s="64"/>
      <c r="AP121" s="266" t="s">
        <v>37</v>
      </c>
      <c r="AQ121" s="64"/>
      <c r="AR121" s="269" t="s">
        <v>38</v>
      </c>
      <c r="AS121" s="272"/>
      <c r="AT121" s="272">
        <f>informatieblad!$B$3</f>
        <v>0</v>
      </c>
      <c r="AU121" s="272">
        <f>informatieblad!$B$3</f>
        <v>0</v>
      </c>
      <c r="AV121" s="272">
        <f>informatieblad!$B$4</f>
        <v>0</v>
      </c>
      <c r="AW121" s="264">
        <f>informatieblad!$B$4</f>
        <v>0</v>
      </c>
    </row>
    <row r="122" spans="1:49">
      <c r="A122" s="513"/>
      <c r="B122" s="102" t="str">
        <f>B112</f>
        <v>none</v>
      </c>
      <c r="C122" s="102" t="str">
        <f>B112</f>
        <v>none</v>
      </c>
      <c r="D122" s="369"/>
      <c r="E122" s="394"/>
      <c r="F122" s="370"/>
      <c r="G122" s="370"/>
      <c r="H122" s="393"/>
      <c r="I122" s="396"/>
      <c r="J122" s="394"/>
      <c r="K122" s="395"/>
      <c r="M122" s="64"/>
      <c r="N122" s="64"/>
      <c r="O122" s="103">
        <f>A121</f>
        <v>0</v>
      </c>
      <c r="P122" s="104" t="s">
        <v>39</v>
      </c>
      <c r="Q122" s="104" t="s">
        <v>39</v>
      </c>
      <c r="R122" s="104" t="s">
        <v>40</v>
      </c>
      <c r="S122" s="104" t="s">
        <v>40</v>
      </c>
      <c r="T122" s="104" t="s">
        <v>40</v>
      </c>
      <c r="U122" s="105"/>
      <c r="V122" s="106" t="s">
        <v>27</v>
      </c>
      <c r="W122" s="106" t="s">
        <v>40</v>
      </c>
      <c r="X122" s="106" t="s">
        <v>41</v>
      </c>
      <c r="Y122" s="104" t="s">
        <v>42</v>
      </c>
      <c r="Z122" s="104" t="s">
        <v>43</v>
      </c>
      <c r="AA122" s="104"/>
      <c r="AB122" s="104" t="s">
        <v>44</v>
      </c>
      <c r="AC122" s="107"/>
      <c r="AD122" s="104" t="s">
        <v>45</v>
      </c>
      <c r="AE122" s="104" t="s">
        <v>42</v>
      </c>
      <c r="AF122" s="104" t="s">
        <v>43</v>
      </c>
      <c r="AG122" s="104" t="s">
        <v>46</v>
      </c>
      <c r="AH122" s="108"/>
      <c r="AI122" s="109"/>
      <c r="AJ122" s="265"/>
      <c r="AK122" s="105"/>
      <c r="AL122" s="64"/>
      <c r="AM122" s="267"/>
      <c r="AN122" s="64"/>
      <c r="AO122" s="83" t="str">
        <f>'UC mounting materials '!$B$10</f>
        <v>Rail 30x15</v>
      </c>
      <c r="AP122" s="327">
        <f>IF(AB123&lt;1000,(AB123+100),0)*C123</f>
        <v>0</v>
      </c>
      <c r="AQ122" s="64"/>
      <c r="AR122" s="265" t="s">
        <v>47</v>
      </c>
      <c r="AS122" s="106" t="s">
        <v>48</v>
      </c>
      <c r="AT122" s="83" t="s">
        <v>23</v>
      </c>
      <c r="AU122" s="83" t="s">
        <v>23</v>
      </c>
      <c r="AV122" s="83" t="s">
        <v>23</v>
      </c>
      <c r="AW122" s="273" t="s">
        <v>23</v>
      </c>
    </row>
    <row r="123" spans="1:49" ht="15.75" thickBot="1">
      <c r="A123" s="514"/>
      <c r="B123" s="373" t="s">
        <v>23</v>
      </c>
      <c r="C123" s="373">
        <f>C113</f>
        <v>0</v>
      </c>
      <c r="D123" s="372">
        <f>C123*Q123</f>
        <v>0</v>
      </c>
      <c r="E123" s="391">
        <f>C118*O118</f>
        <v>0</v>
      </c>
      <c r="F123" s="392" t="s">
        <v>24</v>
      </c>
      <c r="G123" s="509"/>
      <c r="H123" s="510"/>
      <c r="I123" s="510"/>
      <c r="J123" s="510"/>
      <c r="K123" s="511"/>
      <c r="M123" s="64"/>
      <c r="N123" s="64"/>
      <c r="O123" s="111"/>
      <c r="P123" s="112">
        <f>(((2*(B121+C121))*D121)/1000000)</f>
        <v>0</v>
      </c>
      <c r="Q123" s="112">
        <f>((IF(P123&lt;=informatieblad!$I$12,informatieblad!$I$12,IF(P123&gt;=informatieblad!$I$12,P123))))</f>
        <v>0.5</v>
      </c>
      <c r="R123" s="112">
        <f>(((2*B121)+(2*C121))*D121)/1000000</f>
        <v>0</v>
      </c>
      <c r="S123" s="112">
        <f>((IF(R123&lt;=informatieblad!$H$12,informatieblad!$H$12,IF(R123&gt;=informatieblad!$H$12,R123))))</f>
        <v>0</v>
      </c>
      <c r="T123" s="113">
        <f>IF($C113&gt;0,(S123*Z123)+(S123*W123))*C123</f>
        <v>0</v>
      </c>
      <c r="U123" s="114">
        <f>IF($C113&gt;0,(Q123*Y123)+(Q123*X123))*C123</f>
        <v>0</v>
      </c>
      <c r="V123" s="115">
        <f>I123</f>
        <v>0</v>
      </c>
      <c r="W123" s="116" t="e">
        <f>VLOOKUP(G123,informatieblad!$A$37:$D$41,2,FALSE)</f>
        <v>#N/A</v>
      </c>
      <c r="X123" s="116" t="e">
        <f>VLOOKUP(G123,informatieblad!$A$37:$D$41,4,FALSE)</f>
        <v>#N/A</v>
      </c>
      <c r="Y123" s="117">
        <f>((IF(D121&lt;=900,AE123,IF(D121&gt;=900,AG123))))</f>
        <v>45.1248</v>
      </c>
      <c r="Z123" s="118">
        <f>((IF(D121&lt;=900,AD123,IF(D121&gt;=900,AF123))))</f>
        <v>0</v>
      </c>
      <c r="AA123" s="119"/>
      <c r="AB123" s="119">
        <f>(MAX(B121:C121))</f>
        <v>0</v>
      </c>
      <c r="AC123" s="119">
        <f>LOOKUP(AB123,informatieblad!$C$27:$C$32,informatieblad!$A$27:$A$32)</f>
        <v>0.5</v>
      </c>
      <c r="AD123" s="118">
        <f>VLOOKUP(AC123,informatieblad!$A$27:$M$32,6,FALSE)</f>
        <v>0</v>
      </c>
      <c r="AE123" s="118">
        <f>VLOOKUP(AC123,informatieblad!$A$27:$M$32,8,FALSE)</f>
        <v>45.1248</v>
      </c>
      <c r="AF123" s="118">
        <f>VLOOKUP(AC123,informatieblad!$A$27:$M$32,9,FALSE)</f>
        <v>0</v>
      </c>
      <c r="AG123" s="118">
        <f>VLOOKUP(AC123,informatieblad!$A$27:$M$32,11,FALSE)</f>
        <v>32.463200000000001</v>
      </c>
      <c r="AH123" s="120">
        <f>VLOOKUP(AC123,informatieblad!$A$27:$M$32,13,FALSE)</f>
        <v>4</v>
      </c>
      <c r="AI123" s="121">
        <f>ROUND((AH123*R123),1)</f>
        <v>0</v>
      </c>
      <c r="AJ123" s="111">
        <f>(IF(B122=AJ121,((2*B121)+(2*C121)),0))*C123</f>
        <v>0</v>
      </c>
      <c r="AK123" s="260">
        <f>(IF(C122=AJ121,((2*B121)+(2*C121)),0))*C123</f>
        <v>0</v>
      </c>
      <c r="AL123" s="64"/>
      <c r="AM123" s="268">
        <f>D121*C123</f>
        <v>0</v>
      </c>
      <c r="AN123" s="64"/>
      <c r="AO123" s="83" t="str">
        <f>'UC mounting materials '!$B$11</f>
        <v>Rail 41x41</v>
      </c>
      <c r="AP123" s="268">
        <f>IF(AB123&gt;999,(AB123+100),0)*C123</f>
        <v>0</v>
      </c>
      <c r="AQ123" s="64"/>
      <c r="AR123" s="111">
        <f>IF(B122=informatieblad!$A$6,informatieblad!$B$6,IF(B122=informatieblad!$A$7,informatieblad!$B$7,IF(B122=informatieblad!$A$8,informatieblad!$B$8,IF(B122=informatieblad!$A$2,informatieblad!$B$2,IF(B122=informatieblad!$A$3,informatieblad!$B$3,IF(B122=informatieblad!$A$4,informatieblad!$B$4,IF(B122=informatieblad!$A$5,informatieblad!$B$5,"")))))))</f>
        <v>0</v>
      </c>
      <c r="AS123" s="275">
        <f>IF(C122=informatieblad!$A$6,informatieblad!$B$6,IF(C122=informatieblad!$A$7,informatieblad!$B$7,IF(C122=informatieblad!$A$8,informatieblad!$B$8,IF(C122=informatieblad!$A$2,informatieblad!$B$2,IF(C122=informatieblad!$A$3,informatieblad!$B$3,IF(C122=informatieblad!$A$4,informatieblad!$B$4,IF(C122=informatieblad!$A$5,informatieblad!$B$5,"")))))))</f>
        <v>0</v>
      </c>
      <c r="AT123" s="276">
        <f>IF(AR123=AT121,(4*C123),0)</f>
        <v>0</v>
      </c>
      <c r="AU123" s="276">
        <f>IF(AS123=AT121,(4*C123),0)</f>
        <v>0</v>
      </c>
      <c r="AV123" s="276">
        <f>IF(AR123=AV121,(4*C123),0)</f>
        <v>0</v>
      </c>
      <c r="AW123" s="274">
        <f>IF(AS123=AV121,(4*C123),0)</f>
        <v>0</v>
      </c>
    </row>
    <row r="124" spans="1:49" ht="15.75" thickBot="1">
      <c r="A124" s="122"/>
      <c r="B124" s="122"/>
      <c r="C124" s="122"/>
      <c r="D124" s="122"/>
      <c r="E124" s="122"/>
      <c r="F124" s="122"/>
      <c r="G124" s="122"/>
      <c r="H124" s="122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83"/>
      <c r="AL124" s="83"/>
      <c r="AM124" s="64"/>
      <c r="AN124" s="83"/>
      <c r="AO124" s="64"/>
      <c r="AP124" s="83"/>
      <c r="AQ124" s="83"/>
      <c r="AR124" s="64"/>
      <c r="AS124" s="83"/>
      <c r="AT124" s="83"/>
      <c r="AU124" s="83"/>
      <c r="AV124" s="83"/>
      <c r="AW124" s="83"/>
    </row>
    <row r="125" spans="1:49">
      <c r="O125" s="97" t="s">
        <v>193</v>
      </c>
      <c r="P125" s="98" t="s">
        <v>27</v>
      </c>
      <c r="Q125" s="98" t="s">
        <v>28</v>
      </c>
      <c r="R125" s="98" t="s">
        <v>27</v>
      </c>
      <c r="S125" s="98" t="s">
        <v>28</v>
      </c>
      <c r="T125" s="98" t="s">
        <v>29</v>
      </c>
      <c r="U125" s="66" t="s">
        <v>30</v>
      </c>
    </row>
    <row r="126" spans="1:49">
      <c r="O126" s="103">
        <f>A111</f>
        <v>0</v>
      </c>
      <c r="P126" s="104" t="s">
        <v>39</v>
      </c>
      <c r="Q126" s="104" t="s">
        <v>39</v>
      </c>
      <c r="R126" s="104" t="s">
        <v>40</v>
      </c>
      <c r="S126" s="104" t="s">
        <v>40</v>
      </c>
      <c r="T126" s="104" t="s">
        <v>40</v>
      </c>
      <c r="U126" s="105"/>
    </row>
    <row r="127" spans="1:49" ht="15.75" thickBot="1">
      <c r="O127" s="111"/>
      <c r="P127" s="112">
        <f t="shared" ref="P127:U127" si="5">SUM(P113,P118,P123)</f>
        <v>0</v>
      </c>
      <c r="Q127" s="112">
        <f t="shared" si="5"/>
        <v>0.5</v>
      </c>
      <c r="R127" s="112">
        <f t="shared" si="5"/>
        <v>0</v>
      </c>
      <c r="S127" s="112">
        <f t="shared" si="5"/>
        <v>0</v>
      </c>
      <c r="T127" s="113">
        <f t="shared" si="5"/>
        <v>0</v>
      </c>
      <c r="U127" s="114">
        <f t="shared" si="5"/>
        <v>0</v>
      </c>
    </row>
    <row r="128" spans="1:49" ht="15.75" thickBot="1">
      <c r="A128" s="403"/>
      <c r="B128" s="404"/>
      <c r="C128" s="404"/>
      <c r="D128" s="404"/>
      <c r="E128" s="404"/>
      <c r="F128" s="404"/>
      <c r="G128" s="404"/>
      <c r="H128" s="404"/>
      <c r="I128" s="404"/>
      <c r="J128" s="404"/>
    </row>
    <row r="129" spans="1:49" ht="15.75" thickBot="1">
      <c r="A129" s="78" t="s">
        <v>14</v>
      </c>
      <c r="B129" s="79" t="s">
        <v>15</v>
      </c>
      <c r="C129" s="79" t="s">
        <v>16</v>
      </c>
      <c r="D129" s="79" t="s">
        <v>101</v>
      </c>
      <c r="E129" s="79" t="s">
        <v>183</v>
      </c>
      <c r="F129" s="79" t="s">
        <v>184</v>
      </c>
      <c r="G129" s="79" t="s">
        <v>185</v>
      </c>
      <c r="H129" s="79" t="s">
        <v>186</v>
      </c>
      <c r="I129" s="79" t="s">
        <v>117</v>
      </c>
      <c r="J129" s="79" t="s">
        <v>118</v>
      </c>
      <c r="K129" s="125" t="s">
        <v>187</v>
      </c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</row>
    <row r="130" spans="1:49" ht="15.75" thickBot="1">
      <c r="A130" s="445"/>
      <c r="B130" s="167" t="str">
        <f>IF($C132&gt;0,$B140-5,"")</f>
        <v/>
      </c>
      <c r="C130" s="167" t="str">
        <f>IF($C132&gt;0,$C140-5,"")</f>
        <v/>
      </c>
      <c r="D130" s="96"/>
      <c r="E130" s="96" t="str">
        <f>IF($C132&gt;0,(B130-D130)/2,"")</f>
        <v/>
      </c>
      <c r="F130" s="167" t="str">
        <f>IF($C132&gt;0,B130-D130-E130,"")</f>
        <v/>
      </c>
      <c r="G130" s="96">
        <v>2</v>
      </c>
      <c r="H130" s="167" t="str">
        <f>IF($C132&gt;0,C130-D130-G130,"")</f>
        <v/>
      </c>
      <c r="I130" s="300" t="str">
        <f>IF($C132&gt;0,$K$10,"")</f>
        <v/>
      </c>
      <c r="J130" s="300" t="str">
        <f>IF($C132&gt;0,$K$11,"")</f>
        <v/>
      </c>
      <c r="K130" s="178"/>
      <c r="L130" s="345" t="s">
        <v>20</v>
      </c>
      <c r="M130" s="375"/>
      <c r="N130" s="375"/>
      <c r="O130" s="97" t="s">
        <v>14</v>
      </c>
      <c r="P130" s="98" t="s">
        <v>27</v>
      </c>
      <c r="Q130" s="98" t="s">
        <v>28</v>
      </c>
      <c r="R130" s="98" t="s">
        <v>27</v>
      </c>
      <c r="S130" s="98" t="s">
        <v>28</v>
      </c>
      <c r="T130" s="98" t="s">
        <v>29</v>
      </c>
      <c r="U130" s="66" t="s">
        <v>30</v>
      </c>
      <c r="V130" s="376" t="s">
        <v>31</v>
      </c>
      <c r="W130" s="153"/>
      <c r="X130" s="377"/>
      <c r="Y130" s="64"/>
      <c r="Z130" s="64"/>
      <c r="AA130" s="64"/>
      <c r="AB130" s="382" t="s">
        <v>83</v>
      </c>
      <c r="AC130" s="98" t="s">
        <v>84</v>
      </c>
      <c r="AD130" s="98" t="s">
        <v>93</v>
      </c>
      <c r="AE130" s="100" t="s">
        <v>94</v>
      </c>
      <c r="AF130" s="100" t="s">
        <v>34</v>
      </c>
      <c r="AG130" s="98" t="s">
        <v>32</v>
      </c>
      <c r="AH130" s="98" t="s">
        <v>32</v>
      </c>
      <c r="AI130" s="98" t="s">
        <v>50</v>
      </c>
      <c r="AJ130" s="101" t="s">
        <v>36</v>
      </c>
      <c r="AK130" s="64"/>
      <c r="AL130" s="64"/>
      <c r="AM130" s="64"/>
      <c r="AN130" s="64"/>
      <c r="AO130" s="64"/>
      <c r="AP130" s="266" t="s">
        <v>37</v>
      </c>
      <c r="AQ130" s="64"/>
      <c r="AR130" s="269" t="s">
        <v>38</v>
      </c>
      <c r="AS130" s="272">
        <f>informatieblad!$B$3</f>
        <v>0</v>
      </c>
      <c r="AT130" s="264">
        <f>informatieblad!$B$4</f>
        <v>0</v>
      </c>
      <c r="AU130" s="64"/>
      <c r="AV130" s="64"/>
      <c r="AW130" s="64"/>
    </row>
    <row r="131" spans="1:49">
      <c r="A131" s="481"/>
      <c r="B131" s="482" t="str">
        <f>informatieblad!A5</f>
        <v>none</v>
      </c>
      <c r="C131" s="483"/>
      <c r="D131" s="397" t="str">
        <f>A130&amp;"-"&amp;informatieblad!$B$22&amp;"-"&amp;B140&amp;"-"&amp;C140&amp;"-"&amp;D140&amp;"-"&amp;K130&amp;"-"&amp;K135&amp;"-"&amp;D130&amp;"-"&amp;D135&amp;"-"&amp;B131&amp;"-"&amp;G132</f>
        <v>-RctK--------none-Options None</v>
      </c>
      <c r="E131" s="174"/>
      <c r="F131" s="174"/>
      <c r="G131" s="174"/>
      <c r="H131" s="469" t="s">
        <v>82</v>
      </c>
      <c r="I131" s="470"/>
      <c r="J131" s="470"/>
      <c r="K131" s="191" t="str">
        <f>(IF($C132&gt;0,(IF(MAX((MAX(B130,C130)-D130)/2,(D130-MAX(B130,C130)))*1.732&gt;270,MAX((MAX(B130,C130)-D130)/2,(#REF!-MAX(B130,C130)))*1.732,270)),""))</f>
        <v/>
      </c>
      <c r="L131" s="83"/>
      <c r="M131" s="83"/>
      <c r="N131" s="83"/>
      <c r="O131" s="103">
        <f>A130</f>
        <v>0</v>
      </c>
      <c r="P131" s="104" t="s">
        <v>39</v>
      </c>
      <c r="Q131" s="104" t="s">
        <v>39</v>
      </c>
      <c r="R131" s="104" t="s">
        <v>40</v>
      </c>
      <c r="S131" s="104" t="s">
        <v>40</v>
      </c>
      <c r="T131" s="104" t="s">
        <v>40</v>
      </c>
      <c r="U131" s="105"/>
      <c r="V131" s="378" t="s">
        <v>27</v>
      </c>
      <c r="W131" s="155" t="s">
        <v>40</v>
      </c>
      <c r="X131" s="379" t="s">
        <v>41</v>
      </c>
      <c r="Y131" s="64"/>
      <c r="Z131" s="64"/>
      <c r="AA131" s="64"/>
      <c r="AB131" s="383"/>
      <c r="AC131" s="64"/>
      <c r="AD131" s="136" t="s">
        <v>15</v>
      </c>
      <c r="AE131" s="136" t="s">
        <v>16</v>
      </c>
      <c r="AF131" s="107"/>
      <c r="AG131" s="104" t="s">
        <v>40</v>
      </c>
      <c r="AH131" s="104" t="s">
        <v>41</v>
      </c>
      <c r="AI131" s="108"/>
      <c r="AJ131" s="109"/>
      <c r="AK131" s="64"/>
      <c r="AL131" s="64"/>
      <c r="AM131" s="64"/>
      <c r="AN131" s="64"/>
      <c r="AO131" s="83" t="str">
        <f>'UC mounting materials '!$B$10</f>
        <v>Rail 30x15</v>
      </c>
      <c r="AP131" s="327">
        <f>IF(AB132&lt;1000,(AB132+100),0)*C132</f>
        <v>0</v>
      </c>
      <c r="AQ131" s="64"/>
      <c r="AR131" s="265" t="s">
        <v>47</v>
      </c>
      <c r="AS131" s="83" t="s">
        <v>23</v>
      </c>
      <c r="AT131" s="273" t="s">
        <v>23</v>
      </c>
      <c r="AU131" s="64"/>
      <c r="AV131" s="64"/>
      <c r="AW131" s="64"/>
    </row>
    <row r="132" spans="1:49" ht="15.75" thickBot="1">
      <c r="A132" s="476"/>
      <c r="B132" s="186" t="s">
        <v>23</v>
      </c>
      <c r="C132" s="110"/>
      <c r="D132" s="139"/>
      <c r="E132" s="94" t="str">
        <f>IF($C132&gt;0,C132*Q132,"")</f>
        <v/>
      </c>
      <c r="F132" s="141" t="s">
        <v>24</v>
      </c>
      <c r="G132" s="451" t="s">
        <v>25</v>
      </c>
      <c r="H132" s="484"/>
      <c r="I132" s="484"/>
      <c r="J132" s="484"/>
      <c r="K132" s="485"/>
      <c r="L132" s="176"/>
      <c r="M132" s="176"/>
      <c r="N132" s="176"/>
      <c r="O132" s="111"/>
      <c r="P132" s="112" t="str">
        <f>IF($C132&gt;0,((2*(B130+C130))*AC132)/1000000,"")</f>
        <v/>
      </c>
      <c r="Q132" s="158" t="str">
        <f>((IF(P132&lt;=informatieblad!$I$15,informatieblad!$I$15,IF(P132&gt;=informatieblad!$I$15,P132))))</f>
        <v/>
      </c>
      <c r="R132" s="112" t="str">
        <f>IF($C132&gt;0,((2*(B130+C130))*AC132)/1000000,"")</f>
        <v/>
      </c>
      <c r="S132" s="112">
        <f>((IF(R132&lt;=informatieblad!$H$15,informatieblad!$H$15,IF(R132&gt;=informatieblad!$H$15,R132))))</f>
        <v>0</v>
      </c>
      <c r="T132" s="113" t="str">
        <f>IF($C132&gt;0,((S132*AG132)+(S132*W132))*C132,"")</f>
        <v/>
      </c>
      <c r="U132" s="114" t="str">
        <f>IF($C132&gt;0,((Q132*AH132)+(Q132*X132))*C132,"")</f>
        <v/>
      </c>
      <c r="V132" s="380" t="str">
        <f>G132</f>
        <v>Options None</v>
      </c>
      <c r="W132" s="115" t="str">
        <f>IF($C132&gt;0,VLOOKUP(G132,informatieblad!$A$37:$D$41,2,FALSE),"")</f>
        <v/>
      </c>
      <c r="X132" s="381">
        <f>VLOOKUP(G132,informatieblad!$A$37:$D$41,4,FALSE)</f>
        <v>0</v>
      </c>
      <c r="Y132" s="64"/>
      <c r="Z132" s="64"/>
      <c r="AA132" s="64"/>
      <c r="AB132" s="384">
        <f>(MAX(B130:C130))</f>
        <v>0</v>
      </c>
      <c r="AC132" s="161">
        <f>(MAX(AE132,AD132))+K124</f>
        <v>2</v>
      </c>
      <c r="AD132" s="162">
        <f>ROUND((SQRT((((MAX(E130,F130))^2)+(K130^2)))),0)</f>
        <v>0</v>
      </c>
      <c r="AE132" s="163">
        <f>ROUND((SQRT((((MAX(G130,H130))^2)+(K130^2)))),0)</f>
        <v>2</v>
      </c>
      <c r="AF132" s="119">
        <f>LOOKUP(AB132,informatieblad!$C$27:$C$32,informatieblad!$A$27:$A$32)</f>
        <v>0.5</v>
      </c>
      <c r="AG132" s="118">
        <f>VLOOKUP(AF132,informatieblad!$A$27:$M$32,6,FALSE)</f>
        <v>0</v>
      </c>
      <c r="AH132" s="118">
        <f>VLOOKUP(AF132,informatieblad!$A$27:$M$32,8,FALSE)</f>
        <v>45.1248</v>
      </c>
      <c r="AI132" s="120">
        <f>VLOOKUP(AF132,informatieblad!$A$27:$M$32,13,FALSE)</f>
        <v>4</v>
      </c>
      <c r="AJ132" s="121" t="e">
        <f>ROUND((AI132*R132),1)</f>
        <v>#VALUE!</v>
      </c>
      <c r="AK132" s="64"/>
      <c r="AL132" s="64"/>
      <c r="AM132" s="64"/>
      <c r="AN132" s="64"/>
      <c r="AO132" s="83" t="str">
        <f>'UC mounting materials '!$B$11</f>
        <v>Rail 41x41</v>
      </c>
      <c r="AP132" s="268">
        <f>IF(AB132&gt;999,(AB132+100),0)*C132</f>
        <v>0</v>
      </c>
      <c r="AQ132" s="64"/>
      <c r="AR132" s="111">
        <f>IF(B131=informatieblad!$A$6,informatieblad!$B$6,IF(B131=informatieblad!$A$7,informatieblad!$B$7,IF(B131=informatieblad!$A$8,informatieblad!$B$8,IF(B131=informatieblad!$A$2,informatieblad!$B$2,IF(B131=informatieblad!$A$3,informatieblad!$B$3,IF(B131=informatieblad!$A$4,informatieblad!$B$4,IF(B131=informatieblad!$A$5,informatieblad!$B$5,"")))))))</f>
        <v>0</v>
      </c>
      <c r="AS132" s="276">
        <f>IF(AR132=AS130,(4*C132),0)</f>
        <v>0</v>
      </c>
      <c r="AT132" s="274">
        <f>IF(AR132=AT130,(4*C132),0)</f>
        <v>0</v>
      </c>
      <c r="AU132" s="64"/>
      <c r="AV132" s="64"/>
      <c r="AW132" s="64"/>
    </row>
    <row r="133" spans="1:49" ht="21.75" thickBot="1">
      <c r="A133" s="385"/>
      <c r="B133" s="122"/>
      <c r="C133" s="336"/>
      <c r="D133" s="122"/>
      <c r="E133" s="122"/>
      <c r="F133" s="122"/>
      <c r="M133" s="176"/>
      <c r="N133" s="176"/>
      <c r="O133" s="83"/>
      <c r="P133" s="142"/>
      <c r="Q133" s="83"/>
      <c r="R133" s="142"/>
      <c r="S133" s="142"/>
      <c r="T133" s="143"/>
      <c r="U133" s="143"/>
      <c r="V133" s="339"/>
      <c r="W133" s="339"/>
      <c r="X133" s="339"/>
      <c r="Y133" s="64"/>
      <c r="Z133" s="64"/>
      <c r="AA133" s="64"/>
      <c r="AB133" s="189"/>
      <c r="AC133" s="166"/>
      <c r="AD133" s="166"/>
      <c r="AE133" s="166"/>
      <c r="AF133" s="83"/>
      <c r="AG133" s="144"/>
      <c r="AH133" s="144"/>
      <c r="AI133" s="142"/>
      <c r="AJ133" s="142"/>
      <c r="AK133" s="64"/>
      <c r="AL133" s="64"/>
      <c r="AM133" s="64"/>
      <c r="AN133" s="64"/>
      <c r="AO133" s="83"/>
      <c r="AP133" s="83"/>
      <c r="AQ133" s="64"/>
      <c r="AR133" s="83"/>
      <c r="AS133" s="83"/>
      <c r="AT133" s="83"/>
      <c r="AU133" s="64"/>
      <c r="AV133" s="64"/>
      <c r="AW133" s="64"/>
    </row>
    <row r="134" spans="1:49" ht="15.75" thickBot="1">
      <c r="A134" s="78" t="s">
        <v>14</v>
      </c>
      <c r="B134" s="79" t="s">
        <v>15</v>
      </c>
      <c r="C134" s="79" t="s">
        <v>16</v>
      </c>
      <c r="D134" s="79" t="s">
        <v>102</v>
      </c>
      <c r="E134" s="79" t="s">
        <v>172</v>
      </c>
      <c r="F134" s="79" t="s">
        <v>188</v>
      </c>
      <c r="G134" s="79" t="s">
        <v>189</v>
      </c>
      <c r="H134" s="79" t="s">
        <v>190</v>
      </c>
      <c r="I134" s="79" t="s">
        <v>117</v>
      </c>
      <c r="J134" s="79" t="s">
        <v>118</v>
      </c>
      <c r="K134" s="125" t="s">
        <v>191</v>
      </c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</row>
    <row r="135" spans="1:49">
      <c r="A135" s="454">
        <f>A130</f>
        <v>0</v>
      </c>
      <c r="B135" s="167" t="str">
        <f>IF($C132&gt;0,$B140-5,"")</f>
        <v/>
      </c>
      <c r="C135" s="167" t="str">
        <f>IF($C132&gt;0,$C140-5,"")</f>
        <v/>
      </c>
      <c r="D135" s="96"/>
      <c r="E135" s="96" t="str">
        <f>IF($C137&gt;0,(B135-D135)/2,"")</f>
        <v/>
      </c>
      <c r="F135" s="167" t="str">
        <f>IF($C137&gt;0,B135-D135-E135,"")</f>
        <v/>
      </c>
      <c r="G135" s="96">
        <v>2</v>
      </c>
      <c r="H135" s="167" t="str">
        <f>IF($C137&gt;0,C135-D135-G135,"")</f>
        <v/>
      </c>
      <c r="I135" s="300" t="str">
        <f>IF($C132&gt;0,$K$10,"")</f>
        <v/>
      </c>
      <c r="J135" s="300" t="str">
        <f>IF($C132&gt;0,$K$11,"")</f>
        <v/>
      </c>
      <c r="K135" s="178"/>
      <c r="M135" s="375"/>
      <c r="N135" s="375"/>
      <c r="O135" s="97" t="s">
        <v>14</v>
      </c>
      <c r="P135" s="98" t="s">
        <v>27</v>
      </c>
      <c r="Q135" s="98" t="s">
        <v>28</v>
      </c>
      <c r="R135" s="98" t="s">
        <v>27</v>
      </c>
      <c r="S135" s="98" t="s">
        <v>28</v>
      </c>
      <c r="T135" s="98" t="s">
        <v>29</v>
      </c>
      <c r="U135" s="66" t="s">
        <v>30</v>
      </c>
      <c r="V135" s="376" t="s">
        <v>31</v>
      </c>
      <c r="W135" s="153"/>
      <c r="X135" s="377"/>
      <c r="Y135" s="64"/>
      <c r="Z135" s="64"/>
      <c r="AA135" s="64"/>
      <c r="AB135" s="382" t="s">
        <v>83</v>
      </c>
      <c r="AC135" s="98" t="s">
        <v>84</v>
      </c>
      <c r="AD135" s="98" t="s">
        <v>93</v>
      </c>
      <c r="AE135" s="100" t="s">
        <v>94</v>
      </c>
      <c r="AF135" s="100" t="s">
        <v>34</v>
      </c>
      <c r="AG135" s="98" t="s">
        <v>32</v>
      </c>
      <c r="AH135" s="98" t="s">
        <v>32</v>
      </c>
      <c r="AI135" s="98" t="s">
        <v>50</v>
      </c>
      <c r="AJ135" s="101" t="s">
        <v>36</v>
      </c>
      <c r="AK135" s="64"/>
      <c r="AL135" s="64"/>
      <c r="AM135" s="64"/>
      <c r="AN135" s="64"/>
      <c r="AO135" s="64"/>
      <c r="AP135" s="266" t="s">
        <v>37</v>
      </c>
      <c r="AQ135" s="64"/>
      <c r="AR135" s="269" t="s">
        <v>38</v>
      </c>
      <c r="AS135" s="272">
        <f>informatieblad!$B$3</f>
        <v>0</v>
      </c>
      <c r="AT135" s="264">
        <f>informatieblad!$B$4</f>
        <v>0</v>
      </c>
      <c r="AU135" s="64"/>
      <c r="AV135" s="64"/>
      <c r="AW135" s="64"/>
    </row>
    <row r="136" spans="1:49">
      <c r="A136" s="507"/>
      <c r="B136" s="482" t="str">
        <f>B131</f>
        <v>none</v>
      </c>
      <c r="C136" s="483"/>
      <c r="D136" s="397"/>
      <c r="E136" s="174"/>
      <c r="F136" s="174"/>
      <c r="G136" s="174"/>
      <c r="H136" s="469" t="s">
        <v>82</v>
      </c>
      <c r="I136" s="470"/>
      <c r="J136" s="470"/>
      <c r="K136" s="191" t="str">
        <f>(IF($C137&gt;0,(IF(MAX((MAX(B135,C135)-D135)/2,(D135-MAX(B135,C135)))*1.732&gt;270,MAX((MAX(B135,C135)-D135)/2,(#REF!-MAX(B135,C135)))*1.732,270)),""))</f>
        <v/>
      </c>
      <c r="M136" s="83"/>
      <c r="N136" s="83"/>
      <c r="O136" s="103">
        <f>A135</f>
        <v>0</v>
      </c>
      <c r="P136" s="104" t="s">
        <v>39</v>
      </c>
      <c r="Q136" s="104" t="s">
        <v>39</v>
      </c>
      <c r="R136" s="104" t="s">
        <v>40</v>
      </c>
      <c r="S136" s="104" t="s">
        <v>40</v>
      </c>
      <c r="T136" s="104" t="s">
        <v>40</v>
      </c>
      <c r="U136" s="105"/>
      <c r="V136" s="378" t="s">
        <v>27</v>
      </c>
      <c r="W136" s="155" t="s">
        <v>40</v>
      </c>
      <c r="X136" s="379" t="s">
        <v>41</v>
      </c>
      <c r="Y136" s="64"/>
      <c r="Z136" s="64"/>
      <c r="AA136" s="64"/>
      <c r="AB136" s="383"/>
      <c r="AC136" s="64"/>
      <c r="AD136" s="136" t="s">
        <v>15</v>
      </c>
      <c r="AE136" s="136" t="s">
        <v>16</v>
      </c>
      <c r="AF136" s="107"/>
      <c r="AG136" s="104" t="s">
        <v>40</v>
      </c>
      <c r="AH136" s="104" t="s">
        <v>41</v>
      </c>
      <c r="AI136" s="108"/>
      <c r="AJ136" s="109"/>
      <c r="AK136" s="64"/>
      <c r="AL136" s="64"/>
      <c r="AM136" s="64"/>
      <c r="AN136" s="64"/>
      <c r="AO136" s="83" t="str">
        <f>'UC mounting materials '!$B$10</f>
        <v>Rail 30x15</v>
      </c>
      <c r="AP136" s="327">
        <f>IF(AB137&lt;1000,(AB137+100),0)*C137</f>
        <v>0</v>
      </c>
      <c r="AQ136" s="64"/>
      <c r="AR136" s="265" t="s">
        <v>47</v>
      </c>
      <c r="AS136" s="83" t="s">
        <v>23</v>
      </c>
      <c r="AT136" s="273" t="s">
        <v>23</v>
      </c>
      <c r="AU136" s="64"/>
      <c r="AV136" s="64"/>
      <c r="AW136" s="64"/>
    </row>
    <row r="137" spans="1:49" ht="15.75" thickBot="1">
      <c r="A137" s="508"/>
      <c r="B137" s="387" t="s">
        <v>23</v>
      </c>
      <c r="C137" s="95">
        <f>C132</f>
        <v>0</v>
      </c>
      <c r="D137" s="139"/>
      <c r="E137" s="94" t="str">
        <f>IF($C137&gt;0,C137*Q137,"")</f>
        <v/>
      </c>
      <c r="F137" s="141" t="s">
        <v>24</v>
      </c>
      <c r="G137" s="509"/>
      <c r="H137" s="510"/>
      <c r="I137" s="510"/>
      <c r="J137" s="510"/>
      <c r="K137" s="511"/>
      <c r="M137" s="176"/>
      <c r="N137" s="176"/>
      <c r="O137" s="111"/>
      <c r="P137" s="112" t="str">
        <f>IF($C137&gt;0,((2*(B135+C135))*AC137)/1000000,"")</f>
        <v/>
      </c>
      <c r="Q137" s="158" t="str">
        <f>((IF(P137&lt;=informatieblad!$I$15,informatieblad!$I$15,IF(P137&gt;=informatieblad!$I$15,P137))))</f>
        <v/>
      </c>
      <c r="R137" s="112" t="str">
        <f>IF($C137&gt;0,((2*(B135+C135))*AC137)/1000000,"")</f>
        <v/>
      </c>
      <c r="S137" s="112">
        <f>((IF(R137&lt;=informatieblad!$H$15,informatieblad!$H$15,IF(R137&gt;=informatieblad!$H$15,R137))))</f>
        <v>0</v>
      </c>
      <c r="T137" s="113" t="str">
        <f>IF($C137&gt;0,((S137*AG137)+(S137*W137))*C137,"")</f>
        <v/>
      </c>
      <c r="U137" s="114" t="str">
        <f>IF($C137&gt;0,((Q137*AH137)+(Q137*X137))*C137,"")</f>
        <v/>
      </c>
      <c r="V137" s="380">
        <f>G137</f>
        <v>0</v>
      </c>
      <c r="W137" s="115" t="str">
        <f>IF($C137&gt;0,VLOOKUP(G132,informatieblad!$A$37:$D$41,2,FALSE),"")</f>
        <v/>
      </c>
      <c r="X137" s="381">
        <f>VLOOKUP(G132,informatieblad!$A$37:$D$41,4,FALSE)</f>
        <v>0</v>
      </c>
      <c r="Y137" s="64"/>
      <c r="Z137" s="64"/>
      <c r="AA137" s="64"/>
      <c r="AB137" s="384">
        <f>(MAX(B135:C135))</f>
        <v>0</v>
      </c>
      <c r="AC137" s="161">
        <f>(MAX(AE137,AD137))+K124</f>
        <v>2</v>
      </c>
      <c r="AD137" s="162">
        <f>ROUND((SQRT((((MAX(E135,F135))^2)+(K135^2)))),0)</f>
        <v>0</v>
      </c>
      <c r="AE137" s="163">
        <f>ROUND((SQRT((((MAX(G135,H135))^2)+(K135^2)))),0)</f>
        <v>2</v>
      </c>
      <c r="AF137" s="119">
        <f>LOOKUP(AB137,informatieblad!$C$27:$C$32,informatieblad!$A$27:$A$32)</f>
        <v>0.5</v>
      </c>
      <c r="AG137" s="118">
        <f>VLOOKUP(AF137,informatieblad!$A$27:$M$32,6,FALSE)</f>
        <v>0</v>
      </c>
      <c r="AH137" s="118">
        <f>VLOOKUP(AF137,informatieblad!$A$27:$M$32,8,FALSE)</f>
        <v>45.1248</v>
      </c>
      <c r="AI137" s="120">
        <f>VLOOKUP(AF137,informatieblad!$A$27:$M$32,13,FALSE)</f>
        <v>4</v>
      </c>
      <c r="AJ137" s="121" t="e">
        <f>ROUND((AI137*R137),1)</f>
        <v>#VALUE!</v>
      </c>
      <c r="AK137" s="64"/>
      <c r="AL137" s="64"/>
      <c r="AM137" s="64"/>
      <c r="AN137" s="64"/>
      <c r="AO137" s="83" t="str">
        <f>'UC mounting materials '!$B$11</f>
        <v>Rail 41x41</v>
      </c>
      <c r="AP137" s="268">
        <f>IF(AB137&gt;999,(AB137+100),0)*C137</f>
        <v>0</v>
      </c>
      <c r="AQ137" s="64"/>
      <c r="AR137" s="111">
        <f>IF(B136=informatieblad!$A$6,informatieblad!$B$6,IF(B136=informatieblad!$A$7,informatieblad!$B$7,IF(B136=informatieblad!$A$8,informatieblad!$B$8,IF(B136=informatieblad!$A$2,informatieblad!$B$2,IF(B136=informatieblad!$A$3,informatieblad!$B$3,IF(B136=informatieblad!$A$4,informatieblad!$B$4,IF(B136=informatieblad!$A$5,informatieblad!$B$5,"")))))))</f>
        <v>0</v>
      </c>
      <c r="AS137" s="276">
        <f>IF(AR137=AS135,(4*C137),0)</f>
        <v>0</v>
      </c>
      <c r="AT137" s="274">
        <f>IF(AR137=AT135,(4*C137),0)</f>
        <v>0</v>
      </c>
      <c r="AU137" s="64"/>
      <c r="AV137" s="64"/>
      <c r="AW137" s="64"/>
    </row>
    <row r="138" spans="1:49" ht="21.75" thickBot="1">
      <c r="A138" s="386"/>
      <c r="B138" s="122"/>
      <c r="C138" s="336"/>
      <c r="D138" s="122"/>
      <c r="E138" s="122"/>
      <c r="F138" s="122"/>
      <c r="M138" s="176"/>
      <c r="N138" s="176"/>
      <c r="O138" s="83"/>
      <c r="P138" s="142"/>
      <c r="Q138" s="83"/>
      <c r="R138" s="142"/>
      <c r="S138" s="142"/>
      <c r="T138" s="143"/>
      <c r="U138" s="143"/>
      <c r="V138" s="339"/>
      <c r="W138" s="339"/>
      <c r="X138" s="339"/>
      <c r="Y138" s="64"/>
      <c r="Z138" s="64"/>
      <c r="AA138" s="64"/>
      <c r="AB138" s="189"/>
      <c r="AC138" s="166"/>
      <c r="AD138" s="166"/>
      <c r="AE138" s="166"/>
      <c r="AF138" s="83"/>
      <c r="AG138" s="144"/>
      <c r="AH138" s="144"/>
      <c r="AI138" s="142"/>
      <c r="AJ138" s="142"/>
      <c r="AK138" s="64"/>
      <c r="AL138" s="64"/>
      <c r="AM138" s="64"/>
      <c r="AN138" s="64"/>
      <c r="AO138" s="83"/>
      <c r="AP138" s="83"/>
      <c r="AQ138" s="64"/>
      <c r="AR138" s="83"/>
      <c r="AS138" s="83"/>
      <c r="AT138" s="83"/>
      <c r="AU138" s="64"/>
      <c r="AV138" s="64"/>
      <c r="AW138" s="64"/>
    </row>
    <row r="139" spans="1:49" ht="15.75" thickBot="1">
      <c r="A139" s="389" t="s">
        <v>14</v>
      </c>
      <c r="B139" s="390" t="s">
        <v>15</v>
      </c>
      <c r="C139" s="390" t="s">
        <v>16</v>
      </c>
      <c r="D139" s="84" t="s">
        <v>192</v>
      </c>
      <c r="E139" s="167"/>
      <c r="F139" s="167"/>
      <c r="G139" s="167"/>
      <c r="H139" s="167"/>
      <c r="I139" s="167"/>
      <c r="J139" s="167"/>
      <c r="K139" s="196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83"/>
      <c r="AL139" s="83"/>
      <c r="AM139" s="64"/>
      <c r="AN139" s="83"/>
      <c r="AO139" s="64"/>
      <c r="AP139" s="83"/>
      <c r="AQ139" s="64"/>
      <c r="AR139" s="83"/>
      <c r="AS139" s="83"/>
      <c r="AT139" s="83"/>
      <c r="AU139" s="83"/>
      <c r="AV139" s="83"/>
      <c r="AW139" s="83"/>
    </row>
    <row r="140" spans="1:49">
      <c r="A140" s="512">
        <f>A130</f>
        <v>0</v>
      </c>
      <c r="B140" s="388"/>
      <c r="C140" s="388"/>
      <c r="D140" s="388"/>
      <c r="E140" s="515"/>
      <c r="F140" s="516"/>
      <c r="G140" s="516"/>
      <c r="H140" s="517"/>
      <c r="I140" s="394"/>
      <c r="J140" s="394"/>
      <c r="K140" s="395"/>
      <c r="M140" s="64"/>
      <c r="N140" s="64"/>
      <c r="O140" s="97" t="s">
        <v>193</v>
      </c>
      <c r="P140" s="98" t="s">
        <v>27</v>
      </c>
      <c r="Q140" s="98" t="s">
        <v>28</v>
      </c>
      <c r="R140" s="98" t="s">
        <v>27</v>
      </c>
      <c r="S140" s="98" t="s">
        <v>28</v>
      </c>
      <c r="T140" s="98" t="s">
        <v>29</v>
      </c>
      <c r="U140" s="66" t="s">
        <v>30</v>
      </c>
      <c r="V140" s="99" t="s">
        <v>31</v>
      </c>
      <c r="W140" s="99"/>
      <c r="X140" s="99"/>
      <c r="Y140" s="98" t="s">
        <v>32</v>
      </c>
      <c r="Z140" s="98" t="s">
        <v>32</v>
      </c>
      <c r="AA140" s="98"/>
      <c r="AB140" s="98" t="s">
        <v>33</v>
      </c>
      <c r="AC140" s="100" t="s">
        <v>34</v>
      </c>
      <c r="AD140" s="98" t="s">
        <v>32</v>
      </c>
      <c r="AE140" s="98" t="s">
        <v>32</v>
      </c>
      <c r="AF140" s="98" t="s">
        <v>32</v>
      </c>
      <c r="AG140" s="98" t="s">
        <v>32</v>
      </c>
      <c r="AH140" s="98" t="s">
        <v>50</v>
      </c>
      <c r="AI140" s="101" t="s">
        <v>36</v>
      </c>
      <c r="AJ140" s="97" t="str">
        <f>informatieblad!$A$5</f>
        <v>none</v>
      </c>
      <c r="AK140" s="264"/>
      <c r="AL140" s="64"/>
      <c r="AM140" s="266" t="s">
        <v>17</v>
      </c>
      <c r="AN140" s="64"/>
      <c r="AO140" s="64"/>
      <c r="AP140" s="266" t="s">
        <v>37</v>
      </c>
      <c r="AQ140" s="64"/>
      <c r="AR140" s="269" t="s">
        <v>38</v>
      </c>
      <c r="AS140" s="272"/>
      <c r="AT140" s="272">
        <f>informatieblad!$B$3</f>
        <v>0</v>
      </c>
      <c r="AU140" s="272">
        <f>informatieblad!$B$3</f>
        <v>0</v>
      </c>
      <c r="AV140" s="272">
        <f>informatieblad!$B$4</f>
        <v>0</v>
      </c>
      <c r="AW140" s="264">
        <f>informatieblad!$B$4</f>
        <v>0</v>
      </c>
    </row>
    <row r="141" spans="1:49">
      <c r="A141" s="513"/>
      <c r="B141" s="102" t="str">
        <f>B131</f>
        <v>none</v>
      </c>
      <c r="C141" s="102" t="str">
        <f>B131</f>
        <v>none</v>
      </c>
      <c r="D141" s="369"/>
      <c r="E141" s="394"/>
      <c r="F141" s="370"/>
      <c r="G141" s="370"/>
      <c r="H141" s="393"/>
      <c r="I141" s="396"/>
      <c r="J141" s="394"/>
      <c r="K141" s="395"/>
      <c r="M141" s="64"/>
      <c r="N141" s="64"/>
      <c r="O141" s="103">
        <f>A140</f>
        <v>0</v>
      </c>
      <c r="P141" s="104" t="s">
        <v>39</v>
      </c>
      <c r="Q141" s="104" t="s">
        <v>39</v>
      </c>
      <c r="R141" s="104" t="s">
        <v>40</v>
      </c>
      <c r="S141" s="104" t="s">
        <v>40</v>
      </c>
      <c r="T141" s="104" t="s">
        <v>40</v>
      </c>
      <c r="U141" s="105"/>
      <c r="V141" s="106" t="s">
        <v>27</v>
      </c>
      <c r="W141" s="106" t="s">
        <v>40</v>
      </c>
      <c r="X141" s="106" t="s">
        <v>41</v>
      </c>
      <c r="Y141" s="104" t="s">
        <v>42</v>
      </c>
      <c r="Z141" s="104" t="s">
        <v>43</v>
      </c>
      <c r="AA141" s="104"/>
      <c r="AB141" s="104" t="s">
        <v>44</v>
      </c>
      <c r="AC141" s="107"/>
      <c r="AD141" s="104" t="s">
        <v>45</v>
      </c>
      <c r="AE141" s="104" t="s">
        <v>42</v>
      </c>
      <c r="AF141" s="104" t="s">
        <v>43</v>
      </c>
      <c r="AG141" s="104" t="s">
        <v>46</v>
      </c>
      <c r="AH141" s="108"/>
      <c r="AI141" s="109"/>
      <c r="AJ141" s="265"/>
      <c r="AK141" s="105"/>
      <c r="AL141" s="64"/>
      <c r="AM141" s="267"/>
      <c r="AN141" s="64"/>
      <c r="AO141" s="83" t="str">
        <f>'UC mounting materials '!$B$10</f>
        <v>Rail 30x15</v>
      </c>
      <c r="AP141" s="327">
        <f>IF(AB142&lt;1000,(AB142+100),0)*C142</f>
        <v>0</v>
      </c>
      <c r="AQ141" s="64"/>
      <c r="AR141" s="265" t="s">
        <v>47</v>
      </c>
      <c r="AS141" s="106" t="s">
        <v>48</v>
      </c>
      <c r="AT141" s="83" t="s">
        <v>23</v>
      </c>
      <c r="AU141" s="83" t="s">
        <v>23</v>
      </c>
      <c r="AV141" s="83" t="s">
        <v>23</v>
      </c>
      <c r="AW141" s="273" t="s">
        <v>23</v>
      </c>
    </row>
    <row r="142" spans="1:49" ht="15.75" thickBot="1">
      <c r="A142" s="514"/>
      <c r="B142" s="373" t="s">
        <v>23</v>
      </c>
      <c r="C142" s="373">
        <f>C132</f>
        <v>0</v>
      </c>
      <c r="D142" s="372">
        <f>C142*Q142</f>
        <v>0</v>
      </c>
      <c r="E142" s="391">
        <f>C137*O137</f>
        <v>0</v>
      </c>
      <c r="F142" s="392" t="s">
        <v>24</v>
      </c>
      <c r="G142" s="509"/>
      <c r="H142" s="510"/>
      <c r="I142" s="510"/>
      <c r="J142" s="510"/>
      <c r="K142" s="511"/>
      <c r="M142" s="64"/>
      <c r="N142" s="64"/>
      <c r="O142" s="111"/>
      <c r="P142" s="112">
        <f>(((2*(B140+C140))*D140)/1000000)</f>
        <v>0</v>
      </c>
      <c r="Q142" s="112">
        <f>((IF(P142&lt;=informatieblad!$I$12,informatieblad!$I$12,IF(P142&gt;=informatieblad!$I$12,P142))))</f>
        <v>0.5</v>
      </c>
      <c r="R142" s="112">
        <f>(((2*B140)+(2*C140))*D140)/1000000</f>
        <v>0</v>
      </c>
      <c r="S142" s="112">
        <f>((IF(R142&lt;=informatieblad!$H$12,informatieblad!$H$12,IF(R142&gt;=informatieblad!$H$12,R142))))</f>
        <v>0</v>
      </c>
      <c r="T142" s="113">
        <f>IF($C132&gt;0,(S142*Z142)+(S142*W142))*C142</f>
        <v>0</v>
      </c>
      <c r="U142" s="114">
        <f>IF($C132&gt;0,(Q142*Y142)+(Q142*X142))*C142</f>
        <v>0</v>
      </c>
      <c r="V142" s="115">
        <f>I142</f>
        <v>0</v>
      </c>
      <c r="W142" s="116" t="e">
        <f>VLOOKUP(G142,informatieblad!$A$37:$D$41,2,FALSE)</f>
        <v>#N/A</v>
      </c>
      <c r="X142" s="116" t="e">
        <f>VLOOKUP(G142,informatieblad!$A$37:$D$41,4,FALSE)</f>
        <v>#N/A</v>
      </c>
      <c r="Y142" s="117">
        <f>((IF(D140&lt;=900,AE142,IF(D140&gt;=900,AG142))))</f>
        <v>45.1248</v>
      </c>
      <c r="Z142" s="118">
        <f>((IF(D140&lt;=900,AD142,IF(D140&gt;=900,AF142))))</f>
        <v>0</v>
      </c>
      <c r="AA142" s="119"/>
      <c r="AB142" s="119">
        <f>(MAX(B140:C140))</f>
        <v>0</v>
      </c>
      <c r="AC142" s="119">
        <f>LOOKUP(AB142,informatieblad!$C$27:$C$32,informatieblad!$A$27:$A$32)</f>
        <v>0.5</v>
      </c>
      <c r="AD142" s="118">
        <f>VLOOKUP(AC142,informatieblad!$A$27:$M$32,6,FALSE)</f>
        <v>0</v>
      </c>
      <c r="AE142" s="118">
        <f>VLOOKUP(AC142,informatieblad!$A$27:$M$32,8,FALSE)</f>
        <v>45.1248</v>
      </c>
      <c r="AF142" s="118">
        <f>VLOOKUP(AC142,informatieblad!$A$27:$M$32,9,FALSE)</f>
        <v>0</v>
      </c>
      <c r="AG142" s="118">
        <f>VLOOKUP(AC142,informatieblad!$A$27:$M$32,11,FALSE)</f>
        <v>32.463200000000001</v>
      </c>
      <c r="AH142" s="120">
        <f>VLOOKUP(AC142,informatieblad!$A$27:$M$32,13,FALSE)</f>
        <v>4</v>
      </c>
      <c r="AI142" s="121">
        <f>ROUND((AH142*R142),1)</f>
        <v>0</v>
      </c>
      <c r="AJ142" s="111">
        <f>(IF(B141=AJ140,((2*B140)+(2*C140)),0))*C142</f>
        <v>0</v>
      </c>
      <c r="AK142" s="260">
        <f>(IF(C141=AJ140,((2*B140)+(2*C140)),0))*C142</f>
        <v>0</v>
      </c>
      <c r="AL142" s="64"/>
      <c r="AM142" s="268">
        <f>D140*C142</f>
        <v>0</v>
      </c>
      <c r="AN142" s="64"/>
      <c r="AO142" s="83" t="str">
        <f>'UC mounting materials '!$B$11</f>
        <v>Rail 41x41</v>
      </c>
      <c r="AP142" s="268">
        <f>IF(AB142&gt;999,(AB142+100),0)*C142</f>
        <v>0</v>
      </c>
      <c r="AQ142" s="64"/>
      <c r="AR142" s="111">
        <f>IF(B141=informatieblad!$A$6,informatieblad!$B$6,IF(B141=informatieblad!$A$7,informatieblad!$B$7,IF(B141=informatieblad!$A$8,informatieblad!$B$8,IF(B141=informatieblad!$A$2,informatieblad!$B$2,IF(B141=informatieblad!$A$3,informatieblad!$B$3,IF(B141=informatieblad!$A$4,informatieblad!$B$4,IF(B141=informatieblad!$A$5,informatieblad!$B$5,"")))))))</f>
        <v>0</v>
      </c>
      <c r="AS142" s="275">
        <f>IF(C141=informatieblad!$A$6,informatieblad!$B$6,IF(C141=informatieblad!$A$7,informatieblad!$B$7,IF(C141=informatieblad!$A$8,informatieblad!$B$8,IF(C141=informatieblad!$A$2,informatieblad!$B$2,IF(C141=informatieblad!$A$3,informatieblad!$B$3,IF(C141=informatieblad!$A$4,informatieblad!$B$4,IF(C141=informatieblad!$A$5,informatieblad!$B$5,"")))))))</f>
        <v>0</v>
      </c>
      <c r="AT142" s="276">
        <f>IF(AR142=AT140,(4*C142),0)</f>
        <v>0</v>
      </c>
      <c r="AU142" s="276">
        <f>IF(AS142=AT140,(4*C142),0)</f>
        <v>0</v>
      </c>
      <c r="AV142" s="276">
        <f>IF(AR142=AV140,(4*C142),0)</f>
        <v>0</v>
      </c>
      <c r="AW142" s="274">
        <f>IF(AS142=AV140,(4*C142),0)</f>
        <v>0</v>
      </c>
    </row>
    <row r="143" spans="1:49" ht="15.75" thickBot="1">
      <c r="A143" s="122"/>
      <c r="B143" s="122"/>
      <c r="C143" s="122"/>
      <c r="D143" s="122"/>
      <c r="E143" s="122"/>
      <c r="F143" s="122"/>
      <c r="G143" s="122"/>
      <c r="H143" s="122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83"/>
      <c r="AL143" s="83"/>
      <c r="AM143" s="64"/>
      <c r="AN143" s="83"/>
      <c r="AO143" s="64"/>
      <c r="AP143" s="83"/>
      <c r="AQ143" s="83"/>
      <c r="AR143" s="64"/>
      <c r="AS143" s="83"/>
      <c r="AT143" s="83"/>
      <c r="AU143" s="83"/>
      <c r="AV143" s="83"/>
      <c r="AW143" s="83"/>
    </row>
    <row r="144" spans="1:49">
      <c r="O144" s="97" t="s">
        <v>193</v>
      </c>
      <c r="P144" s="98" t="s">
        <v>27</v>
      </c>
      <c r="Q144" s="98" t="s">
        <v>28</v>
      </c>
      <c r="R144" s="98" t="s">
        <v>27</v>
      </c>
      <c r="S144" s="98" t="s">
        <v>28</v>
      </c>
      <c r="T144" s="98" t="s">
        <v>29</v>
      </c>
      <c r="U144" s="66" t="s">
        <v>30</v>
      </c>
    </row>
    <row r="145" spans="1:49">
      <c r="O145" s="103">
        <f>A130</f>
        <v>0</v>
      </c>
      <c r="P145" s="104" t="s">
        <v>39</v>
      </c>
      <c r="Q145" s="104" t="s">
        <v>39</v>
      </c>
      <c r="R145" s="104" t="s">
        <v>40</v>
      </c>
      <c r="S145" s="104" t="s">
        <v>40</v>
      </c>
      <c r="T145" s="104" t="s">
        <v>40</v>
      </c>
      <c r="U145" s="105"/>
    </row>
    <row r="146" spans="1:49" ht="15.75" thickBot="1">
      <c r="O146" s="111"/>
      <c r="P146" s="112">
        <f t="shared" ref="P146:U146" si="6">SUM(P132,P137,P142)</f>
        <v>0</v>
      </c>
      <c r="Q146" s="112">
        <f t="shared" si="6"/>
        <v>0.5</v>
      </c>
      <c r="R146" s="112">
        <f t="shared" si="6"/>
        <v>0</v>
      </c>
      <c r="S146" s="112">
        <f t="shared" si="6"/>
        <v>0</v>
      </c>
      <c r="T146" s="113">
        <f t="shared" si="6"/>
        <v>0</v>
      </c>
      <c r="U146" s="114">
        <f t="shared" si="6"/>
        <v>0</v>
      </c>
    </row>
    <row r="147" spans="1:49" ht="15.75" thickBot="1">
      <c r="A147" s="403"/>
      <c r="B147" s="404"/>
      <c r="C147" s="404"/>
      <c r="D147" s="404"/>
      <c r="E147" s="404"/>
      <c r="F147" s="404"/>
      <c r="G147" s="404"/>
      <c r="H147" s="404"/>
      <c r="I147" s="404"/>
      <c r="J147" s="404"/>
    </row>
    <row r="148" spans="1:49" ht="15.75" thickBot="1">
      <c r="A148" s="78" t="s">
        <v>14</v>
      </c>
      <c r="B148" s="79" t="s">
        <v>15</v>
      </c>
      <c r="C148" s="79" t="s">
        <v>16</v>
      </c>
      <c r="D148" s="79" t="s">
        <v>101</v>
      </c>
      <c r="E148" s="79" t="s">
        <v>183</v>
      </c>
      <c r="F148" s="79" t="s">
        <v>184</v>
      </c>
      <c r="G148" s="79" t="s">
        <v>185</v>
      </c>
      <c r="H148" s="79" t="s">
        <v>186</v>
      </c>
      <c r="I148" s="79" t="s">
        <v>117</v>
      </c>
      <c r="J148" s="79" t="s">
        <v>118</v>
      </c>
      <c r="K148" s="125" t="s">
        <v>187</v>
      </c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</row>
    <row r="149" spans="1:49" ht="15.75" thickBot="1">
      <c r="A149" s="445"/>
      <c r="B149" s="167" t="str">
        <f>IF($C151&gt;0,$B159-5,"")</f>
        <v/>
      </c>
      <c r="C149" s="167" t="str">
        <f>IF($C151&gt;0,$C159-5,"")</f>
        <v/>
      </c>
      <c r="D149" s="96"/>
      <c r="E149" s="96" t="str">
        <f>IF($C151&gt;0,(B149-D149)/2,"")</f>
        <v/>
      </c>
      <c r="F149" s="167" t="str">
        <f>IF($C151&gt;0,B149-D149-E149,"")</f>
        <v/>
      </c>
      <c r="G149" s="96">
        <v>3</v>
      </c>
      <c r="H149" s="167" t="str">
        <f>IF($C151&gt;0,C149-D149-G149,"")</f>
        <v/>
      </c>
      <c r="I149" s="300" t="str">
        <f>IF($C151&gt;0,$K$10,"")</f>
        <v/>
      </c>
      <c r="J149" s="300" t="str">
        <f>IF($C151&gt;0,$K$11,"")</f>
        <v/>
      </c>
      <c r="K149" s="178"/>
      <c r="L149" s="345" t="s">
        <v>20</v>
      </c>
      <c r="M149" s="375"/>
      <c r="N149" s="375"/>
      <c r="O149" s="97" t="s">
        <v>14</v>
      </c>
      <c r="P149" s="98" t="s">
        <v>27</v>
      </c>
      <c r="Q149" s="98" t="s">
        <v>28</v>
      </c>
      <c r="R149" s="98" t="s">
        <v>27</v>
      </c>
      <c r="S149" s="98" t="s">
        <v>28</v>
      </c>
      <c r="T149" s="98" t="s">
        <v>29</v>
      </c>
      <c r="U149" s="66" t="s">
        <v>30</v>
      </c>
      <c r="V149" s="376" t="s">
        <v>31</v>
      </c>
      <c r="W149" s="153"/>
      <c r="X149" s="377"/>
      <c r="Y149" s="64"/>
      <c r="Z149" s="64"/>
      <c r="AA149" s="64"/>
      <c r="AB149" s="382" t="s">
        <v>83</v>
      </c>
      <c r="AC149" s="98" t="s">
        <v>84</v>
      </c>
      <c r="AD149" s="98" t="s">
        <v>194</v>
      </c>
      <c r="AE149" s="100" t="s">
        <v>195</v>
      </c>
      <c r="AF149" s="100" t="s">
        <v>34</v>
      </c>
      <c r="AG149" s="98" t="s">
        <v>32</v>
      </c>
      <c r="AH149" s="98" t="s">
        <v>32</v>
      </c>
      <c r="AI149" s="98" t="s">
        <v>51</v>
      </c>
      <c r="AJ149" s="101" t="s">
        <v>36</v>
      </c>
      <c r="AK149" s="64"/>
      <c r="AL149" s="64"/>
      <c r="AM149" s="64"/>
      <c r="AN149" s="64"/>
      <c r="AO149" s="64"/>
      <c r="AP149" s="266" t="s">
        <v>37</v>
      </c>
      <c r="AQ149" s="64"/>
      <c r="AR149" s="269" t="s">
        <v>38</v>
      </c>
      <c r="AS149" s="272">
        <f>informatieblad!$B$3</f>
        <v>0</v>
      </c>
      <c r="AT149" s="264">
        <f>informatieblad!$B$4</f>
        <v>0</v>
      </c>
      <c r="AU149" s="64"/>
      <c r="AV149" s="64"/>
      <c r="AW149" s="64"/>
    </row>
    <row r="150" spans="1:49">
      <c r="A150" s="481"/>
      <c r="B150" s="482" t="str">
        <f>informatieblad!A5</f>
        <v>none</v>
      </c>
      <c r="C150" s="483"/>
      <c r="D150" s="397" t="str">
        <f>A149&amp;"-"&amp;informatieblad!$B$22&amp;"-"&amp;B159&amp;"-"&amp;C159&amp;"-"&amp;D159&amp;"-"&amp;K149&amp;"-"&amp;K154&amp;"-"&amp;D149&amp;"-"&amp;D154&amp;"-"&amp;B150&amp;"-"&amp;G151</f>
        <v>-RctK--------none-Options None</v>
      </c>
      <c r="E150" s="174"/>
      <c r="F150" s="174"/>
      <c r="G150" s="174"/>
      <c r="H150" s="469" t="s">
        <v>82</v>
      </c>
      <c r="I150" s="470"/>
      <c r="J150" s="470"/>
      <c r="K150" s="191" t="str">
        <f>(IF($C151&gt;0,(IF(MAX((MAX(B149,C149)-D149)/2,(D149-MAX(B149,C149)))*1.732&gt;270,MAX((MAX(B149,C149)-D149)/2,(#REF!-MAX(B149,C149)))*1.732,270)),""))</f>
        <v/>
      </c>
      <c r="L150" s="83"/>
      <c r="M150" s="83"/>
      <c r="N150" s="83"/>
      <c r="O150" s="103">
        <f>A149</f>
        <v>0</v>
      </c>
      <c r="P150" s="104" t="s">
        <v>39</v>
      </c>
      <c r="Q150" s="104" t="s">
        <v>39</v>
      </c>
      <c r="R150" s="104" t="s">
        <v>40</v>
      </c>
      <c r="S150" s="104" t="s">
        <v>40</v>
      </c>
      <c r="T150" s="104" t="s">
        <v>40</v>
      </c>
      <c r="U150" s="105"/>
      <c r="V150" s="378" t="s">
        <v>27</v>
      </c>
      <c r="W150" s="155" t="s">
        <v>40</v>
      </c>
      <c r="X150" s="379" t="s">
        <v>41</v>
      </c>
      <c r="Y150" s="64"/>
      <c r="Z150" s="64"/>
      <c r="AA150" s="64"/>
      <c r="AB150" s="383"/>
      <c r="AC150" s="64"/>
      <c r="AD150" s="136" t="s">
        <v>15</v>
      </c>
      <c r="AE150" s="136" t="s">
        <v>16</v>
      </c>
      <c r="AF150" s="107"/>
      <c r="AG150" s="104" t="s">
        <v>40</v>
      </c>
      <c r="AH150" s="104" t="s">
        <v>41</v>
      </c>
      <c r="AI150" s="108"/>
      <c r="AJ150" s="109"/>
      <c r="AK150" s="64"/>
      <c r="AL150" s="64"/>
      <c r="AM150" s="64"/>
      <c r="AN150" s="64"/>
      <c r="AO150" s="83" t="str">
        <f>'UC mounting materials '!$B$10</f>
        <v>Rail 30x15</v>
      </c>
      <c r="AP150" s="327">
        <f>IF(AB151&lt;1000,(AB151+100),0)*C151</f>
        <v>0</v>
      </c>
      <c r="AQ150" s="64"/>
      <c r="AR150" s="265" t="s">
        <v>47</v>
      </c>
      <c r="AS150" s="83" t="s">
        <v>23</v>
      </c>
      <c r="AT150" s="273" t="s">
        <v>23</v>
      </c>
      <c r="AU150" s="64"/>
      <c r="AV150" s="64"/>
      <c r="AW150" s="64"/>
    </row>
    <row r="151" spans="1:49" ht="15.75" thickBot="1">
      <c r="A151" s="476"/>
      <c r="B151" s="186" t="s">
        <v>23</v>
      </c>
      <c r="C151" s="110"/>
      <c r="D151" s="139"/>
      <c r="E151" s="94" t="str">
        <f>IF($C151&gt;0,C151*Q151,"")</f>
        <v/>
      </c>
      <c r="F151" s="141" t="s">
        <v>24</v>
      </c>
      <c r="G151" s="451" t="s">
        <v>25</v>
      </c>
      <c r="H151" s="484"/>
      <c r="I151" s="484"/>
      <c r="J151" s="484"/>
      <c r="K151" s="485"/>
      <c r="L151" s="176"/>
      <c r="M151" s="176"/>
      <c r="N151" s="176"/>
      <c r="O151" s="111"/>
      <c r="P151" s="112" t="str">
        <f>IF($C151&gt;0,((2*(B149+C149))*AC151)/1000000,"")</f>
        <v/>
      </c>
      <c r="Q151" s="158" t="str">
        <f>((IF(P151&lt;=informatieblad!$I$15,informatieblad!$I$15,IF(P151&gt;=informatieblad!$I$15,P151))))</f>
        <v/>
      </c>
      <c r="R151" s="112" t="str">
        <f>IF($C151&gt;0,((2*(B149+C149))*AC151)/1000000,"")</f>
        <v/>
      </c>
      <c r="S151" s="112">
        <f>((IF(R151&lt;=informatieblad!$H$15,informatieblad!$H$15,IF(R151&gt;=informatieblad!$H$15,R151))))</f>
        <v>0</v>
      </c>
      <c r="T151" s="113" t="str">
        <f>IF($C151&gt;0,((S151*AG151)+(S151*W151))*C151,"")</f>
        <v/>
      </c>
      <c r="U151" s="114" t="str">
        <f>IF($C151&gt;0,((Q151*AH151)+(Q151*X151))*C151,"")</f>
        <v/>
      </c>
      <c r="V151" s="380" t="str">
        <f>G151</f>
        <v>Options None</v>
      </c>
      <c r="W151" s="115" t="str">
        <f>IF($C151&gt;0,VLOOKUP(G151,informatieblad!$A$37:$D$41,2,FALSE),"")</f>
        <v/>
      </c>
      <c r="X151" s="381">
        <f>VLOOKUP(G151,informatieblad!$A$37:$D$41,4,FALSE)</f>
        <v>0</v>
      </c>
      <c r="Y151" s="64"/>
      <c r="Z151" s="64"/>
      <c r="AA151" s="64"/>
      <c r="AB151" s="384">
        <f>(MAX(B149:C149))</f>
        <v>0</v>
      </c>
      <c r="AC151" s="161">
        <f>(MAX(AE151,AD151))+K143</f>
        <v>3</v>
      </c>
      <c r="AD151" s="162">
        <f>ROUND((SQRT((((MAX(E149,F149))^2)+(K149^2)))),0)</f>
        <v>0</v>
      </c>
      <c r="AE151" s="163">
        <f>ROUND((SQRT((((MAX(G149,H149))^2)+(K149^2)))),0)</f>
        <v>3</v>
      </c>
      <c r="AF151" s="119">
        <f>LOOKUP(AB151,informatieblad!$C$27:$C$32,informatieblad!$A$27:$A$32)</f>
        <v>0.5</v>
      </c>
      <c r="AG151" s="118">
        <f>VLOOKUP(AF151,informatieblad!$A$27:$M$32,6,FALSE)</f>
        <v>0</v>
      </c>
      <c r="AH151" s="118">
        <f>VLOOKUP(AF151,informatieblad!$A$27:$M$32,8,FALSE)</f>
        <v>45.1248</v>
      </c>
      <c r="AI151" s="120">
        <f>VLOOKUP(AF151,informatieblad!$A$27:$M$32,13,FALSE)</f>
        <v>4</v>
      </c>
      <c r="AJ151" s="121" t="e">
        <f>ROUND((AI151*R151),1)</f>
        <v>#VALUE!</v>
      </c>
      <c r="AK151" s="64"/>
      <c r="AL151" s="64"/>
      <c r="AM151" s="64"/>
      <c r="AN151" s="64"/>
      <c r="AO151" s="83" t="str">
        <f>'UC mounting materials '!$B$11</f>
        <v>Rail 41x41</v>
      </c>
      <c r="AP151" s="268">
        <f>IF(AB151&gt;999,(AB151+100),0)*C151</f>
        <v>0</v>
      </c>
      <c r="AQ151" s="64"/>
      <c r="AR151" s="111">
        <f>IF(B150=informatieblad!$A$6,informatieblad!$B$6,IF(B150=informatieblad!$A$7,informatieblad!$B$7,IF(B150=informatieblad!$A$8,informatieblad!$B$8,IF(B150=informatieblad!$A$2,informatieblad!$B$2,IF(B150=informatieblad!$A$3,informatieblad!$B$3,IF(B150=informatieblad!$A$4,informatieblad!$B$4,IF(B150=informatieblad!$A$5,informatieblad!$B$5,"")))))))</f>
        <v>0</v>
      </c>
      <c r="AS151" s="276">
        <f>IF(AR151=AS149,(4*C151),0)</f>
        <v>0</v>
      </c>
      <c r="AT151" s="274">
        <f>IF(AR151=AT149,(4*C151),0)</f>
        <v>0</v>
      </c>
      <c r="AU151" s="64"/>
      <c r="AV151" s="64"/>
      <c r="AW151" s="64"/>
    </row>
    <row r="152" spans="1:49" ht="21.75" thickBot="1">
      <c r="A152" s="385"/>
      <c r="B152" s="122"/>
      <c r="C152" s="336"/>
      <c r="D152" s="122"/>
      <c r="E152" s="122"/>
      <c r="F152" s="122"/>
      <c r="M152" s="176"/>
      <c r="N152" s="176"/>
      <c r="O152" s="83"/>
      <c r="P152" s="142"/>
      <c r="Q152" s="83"/>
      <c r="R152" s="142"/>
      <c r="S152" s="142"/>
      <c r="T152" s="143"/>
      <c r="U152" s="143"/>
      <c r="V152" s="339"/>
      <c r="W152" s="339"/>
      <c r="X152" s="339"/>
      <c r="Y152" s="64"/>
      <c r="Z152" s="64"/>
      <c r="AA152" s="64"/>
      <c r="AB152" s="189"/>
      <c r="AC152" s="166"/>
      <c r="AD152" s="166"/>
      <c r="AE152" s="166"/>
      <c r="AF152" s="83"/>
      <c r="AG152" s="144"/>
      <c r="AH152" s="144"/>
      <c r="AI152" s="142"/>
      <c r="AJ152" s="142"/>
      <c r="AK152" s="64"/>
      <c r="AL152" s="64"/>
      <c r="AM152" s="64"/>
      <c r="AN152" s="64"/>
      <c r="AO152" s="83"/>
      <c r="AP152" s="83"/>
      <c r="AQ152" s="64"/>
      <c r="AR152" s="83"/>
      <c r="AS152" s="83"/>
      <c r="AT152" s="83"/>
      <c r="AU152" s="64"/>
      <c r="AV152" s="64"/>
      <c r="AW152" s="64"/>
    </row>
    <row r="153" spans="1:49" ht="15.75" thickBot="1">
      <c r="A153" s="78" t="s">
        <v>14</v>
      </c>
      <c r="B153" s="79" t="s">
        <v>15</v>
      </c>
      <c r="C153" s="79" t="s">
        <v>16</v>
      </c>
      <c r="D153" s="79" t="s">
        <v>102</v>
      </c>
      <c r="E153" s="79" t="s">
        <v>172</v>
      </c>
      <c r="F153" s="79" t="s">
        <v>188</v>
      </c>
      <c r="G153" s="79" t="s">
        <v>189</v>
      </c>
      <c r="H153" s="79" t="s">
        <v>190</v>
      </c>
      <c r="I153" s="79" t="s">
        <v>117</v>
      </c>
      <c r="J153" s="79" t="s">
        <v>118</v>
      </c>
      <c r="K153" s="125" t="s">
        <v>191</v>
      </c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</row>
    <row r="154" spans="1:49">
      <c r="A154" s="454">
        <f>A149</f>
        <v>0</v>
      </c>
      <c r="B154" s="167" t="str">
        <f>IF($C151&gt;0,$B159-5,"")</f>
        <v/>
      </c>
      <c r="C154" s="167" t="str">
        <f>IF($C151&gt;0,$C159-5,"")</f>
        <v/>
      </c>
      <c r="D154" s="96"/>
      <c r="E154" s="96" t="str">
        <f>IF($C156&gt;0,(B154-D154)/2,"")</f>
        <v/>
      </c>
      <c r="F154" s="167" t="str">
        <f>IF($C156&gt;0,B154-D154-E154,"")</f>
        <v/>
      </c>
      <c r="G154" s="96">
        <v>3</v>
      </c>
      <c r="H154" s="167" t="str">
        <f>IF($C156&gt;0,C154-D154-G154,"")</f>
        <v/>
      </c>
      <c r="I154" s="300" t="str">
        <f>IF($C151&gt;0,$K$10,"")</f>
        <v/>
      </c>
      <c r="J154" s="300" t="str">
        <f>IF($C151&gt;0,$K$11,"")</f>
        <v/>
      </c>
      <c r="K154" s="178"/>
      <c r="M154" s="375"/>
      <c r="N154" s="375"/>
      <c r="O154" s="97" t="s">
        <v>14</v>
      </c>
      <c r="P154" s="98" t="s">
        <v>27</v>
      </c>
      <c r="Q154" s="98" t="s">
        <v>28</v>
      </c>
      <c r="R154" s="98" t="s">
        <v>27</v>
      </c>
      <c r="S154" s="98" t="s">
        <v>28</v>
      </c>
      <c r="T154" s="98" t="s">
        <v>29</v>
      </c>
      <c r="U154" s="66" t="s">
        <v>30</v>
      </c>
      <c r="V154" s="376" t="s">
        <v>31</v>
      </c>
      <c r="W154" s="153"/>
      <c r="X154" s="377"/>
      <c r="Y154" s="64"/>
      <c r="Z154" s="64"/>
      <c r="AA154" s="64"/>
      <c r="AB154" s="382" t="s">
        <v>83</v>
      </c>
      <c r="AC154" s="98" t="s">
        <v>84</v>
      </c>
      <c r="AD154" s="98" t="s">
        <v>194</v>
      </c>
      <c r="AE154" s="100" t="s">
        <v>195</v>
      </c>
      <c r="AF154" s="100" t="s">
        <v>34</v>
      </c>
      <c r="AG154" s="98" t="s">
        <v>32</v>
      </c>
      <c r="AH154" s="98" t="s">
        <v>32</v>
      </c>
      <c r="AI154" s="98" t="s">
        <v>51</v>
      </c>
      <c r="AJ154" s="101" t="s">
        <v>36</v>
      </c>
      <c r="AK154" s="64"/>
      <c r="AL154" s="64"/>
      <c r="AM154" s="64"/>
      <c r="AN154" s="64"/>
      <c r="AO154" s="64"/>
      <c r="AP154" s="266" t="s">
        <v>37</v>
      </c>
      <c r="AQ154" s="64"/>
      <c r="AR154" s="269" t="s">
        <v>38</v>
      </c>
      <c r="AS154" s="272">
        <f>informatieblad!$B$3</f>
        <v>0</v>
      </c>
      <c r="AT154" s="264">
        <f>informatieblad!$B$4</f>
        <v>0</v>
      </c>
      <c r="AU154" s="64"/>
      <c r="AV154" s="64"/>
      <c r="AW154" s="64"/>
    </row>
    <row r="155" spans="1:49">
      <c r="A155" s="507"/>
      <c r="B155" s="482" t="str">
        <f>B150</f>
        <v>none</v>
      </c>
      <c r="C155" s="483"/>
      <c r="D155" s="397"/>
      <c r="E155" s="174"/>
      <c r="F155" s="174"/>
      <c r="G155" s="174"/>
      <c r="H155" s="469" t="s">
        <v>82</v>
      </c>
      <c r="I155" s="470"/>
      <c r="J155" s="470"/>
      <c r="K155" s="191" t="str">
        <f>(IF($C156&gt;0,(IF(MAX((MAX(B154,C154)-D154)/2,(D154-MAX(B154,C154)))*1.732&gt;270,MAX((MAX(B154,C154)-D154)/2,(#REF!-MAX(B154,C154)))*1.732,270)),""))</f>
        <v/>
      </c>
      <c r="M155" s="83"/>
      <c r="N155" s="83"/>
      <c r="O155" s="103">
        <f>A154</f>
        <v>0</v>
      </c>
      <c r="P155" s="104" t="s">
        <v>39</v>
      </c>
      <c r="Q155" s="104" t="s">
        <v>39</v>
      </c>
      <c r="R155" s="104" t="s">
        <v>40</v>
      </c>
      <c r="S155" s="104" t="s">
        <v>40</v>
      </c>
      <c r="T155" s="104" t="s">
        <v>40</v>
      </c>
      <c r="U155" s="105"/>
      <c r="V155" s="378" t="s">
        <v>27</v>
      </c>
      <c r="W155" s="155" t="s">
        <v>40</v>
      </c>
      <c r="X155" s="379" t="s">
        <v>41</v>
      </c>
      <c r="Y155" s="64"/>
      <c r="Z155" s="64"/>
      <c r="AA155" s="64"/>
      <c r="AB155" s="383"/>
      <c r="AC155" s="64"/>
      <c r="AD155" s="136" t="s">
        <v>15</v>
      </c>
      <c r="AE155" s="136" t="s">
        <v>16</v>
      </c>
      <c r="AF155" s="107"/>
      <c r="AG155" s="104" t="s">
        <v>40</v>
      </c>
      <c r="AH155" s="104" t="s">
        <v>41</v>
      </c>
      <c r="AI155" s="108"/>
      <c r="AJ155" s="109"/>
      <c r="AK155" s="64"/>
      <c r="AL155" s="64"/>
      <c r="AM155" s="64"/>
      <c r="AN155" s="64"/>
      <c r="AO155" s="83" t="str">
        <f>'UC mounting materials '!$B$10</f>
        <v>Rail 30x15</v>
      </c>
      <c r="AP155" s="327">
        <f>IF(AB156&lt;1000,(AB156+100),0)*C156</f>
        <v>0</v>
      </c>
      <c r="AQ155" s="64"/>
      <c r="AR155" s="265" t="s">
        <v>47</v>
      </c>
      <c r="AS155" s="83" t="s">
        <v>23</v>
      </c>
      <c r="AT155" s="273" t="s">
        <v>23</v>
      </c>
      <c r="AU155" s="64"/>
      <c r="AV155" s="64"/>
      <c r="AW155" s="64"/>
    </row>
    <row r="156" spans="1:49" ht="15.75" thickBot="1">
      <c r="A156" s="508"/>
      <c r="B156" s="387" t="s">
        <v>23</v>
      </c>
      <c r="C156" s="95">
        <f>C151</f>
        <v>0</v>
      </c>
      <c r="D156" s="139"/>
      <c r="E156" s="94" t="str">
        <f>IF($C156&gt;0,C156*Q156,"")</f>
        <v/>
      </c>
      <c r="F156" s="141" t="s">
        <v>24</v>
      </c>
      <c r="G156" s="509"/>
      <c r="H156" s="510"/>
      <c r="I156" s="510"/>
      <c r="J156" s="510"/>
      <c r="K156" s="511"/>
      <c r="M156" s="176"/>
      <c r="N156" s="176"/>
      <c r="O156" s="111"/>
      <c r="P156" s="112" t="str">
        <f>IF($C156&gt;0,((2*(B154+C154))*AC156)/1000000,"")</f>
        <v/>
      </c>
      <c r="Q156" s="158" t="str">
        <f>((IF(P156&lt;=informatieblad!$I$15,informatieblad!$I$15,IF(P156&gt;=informatieblad!$I$15,P156))))</f>
        <v/>
      </c>
      <c r="R156" s="112" t="str">
        <f>IF($C156&gt;0,((2*(B154+C154))*AC156)/1000000,"")</f>
        <v/>
      </c>
      <c r="S156" s="112">
        <f>((IF(R156&lt;=informatieblad!$H$15,informatieblad!$H$15,IF(R156&gt;=informatieblad!$H$15,R156))))</f>
        <v>0</v>
      </c>
      <c r="T156" s="113" t="str">
        <f>IF($C156&gt;0,((S156*AG156)+(S156*W156))*C156,"")</f>
        <v/>
      </c>
      <c r="U156" s="114" t="str">
        <f>IF($C156&gt;0,((Q156*AH156)+(Q156*X156))*C156,"")</f>
        <v/>
      </c>
      <c r="V156" s="380">
        <f>G156</f>
        <v>0</v>
      </c>
      <c r="W156" s="115" t="str">
        <f>IF($C156&gt;0,VLOOKUP(G151,informatieblad!$A$37:$D$41,2,FALSE),"")</f>
        <v/>
      </c>
      <c r="X156" s="381">
        <f>VLOOKUP(G151,informatieblad!$A$37:$D$41,4,FALSE)</f>
        <v>0</v>
      </c>
      <c r="Y156" s="64"/>
      <c r="Z156" s="64"/>
      <c r="AA156" s="64"/>
      <c r="AB156" s="384">
        <f>(MAX(B154:C154))</f>
        <v>0</v>
      </c>
      <c r="AC156" s="161">
        <f>(MAX(AE156,AD156))+K143</f>
        <v>3</v>
      </c>
      <c r="AD156" s="162">
        <f>ROUND((SQRT((((MAX(E154,F154))^2)+(K154^2)))),0)</f>
        <v>0</v>
      </c>
      <c r="AE156" s="163">
        <f>ROUND((SQRT((((MAX(G154,H154))^2)+(K154^2)))),0)</f>
        <v>3</v>
      </c>
      <c r="AF156" s="119">
        <f>LOOKUP(AB156,informatieblad!$C$27:$C$32,informatieblad!$A$27:$A$32)</f>
        <v>0.5</v>
      </c>
      <c r="AG156" s="118">
        <f>VLOOKUP(AF156,informatieblad!$A$27:$M$32,6,FALSE)</f>
        <v>0</v>
      </c>
      <c r="AH156" s="118">
        <f>VLOOKUP(AF156,informatieblad!$A$27:$M$32,8,FALSE)</f>
        <v>45.1248</v>
      </c>
      <c r="AI156" s="120">
        <f>VLOOKUP(AF156,informatieblad!$A$27:$M$32,13,FALSE)</f>
        <v>4</v>
      </c>
      <c r="AJ156" s="121" t="e">
        <f>ROUND((AI156*R156),1)</f>
        <v>#VALUE!</v>
      </c>
      <c r="AK156" s="64"/>
      <c r="AL156" s="64"/>
      <c r="AM156" s="64"/>
      <c r="AN156" s="64"/>
      <c r="AO156" s="83" t="str">
        <f>'UC mounting materials '!$B$11</f>
        <v>Rail 41x41</v>
      </c>
      <c r="AP156" s="268">
        <f>IF(AB156&gt;999,(AB156+100),0)*C156</f>
        <v>0</v>
      </c>
      <c r="AQ156" s="64"/>
      <c r="AR156" s="111">
        <f>IF(B155=informatieblad!$A$6,informatieblad!$B$6,IF(B155=informatieblad!$A$7,informatieblad!$B$7,IF(B155=informatieblad!$A$8,informatieblad!$B$8,IF(B155=informatieblad!$A$2,informatieblad!$B$2,IF(B155=informatieblad!$A$3,informatieblad!$B$3,IF(B155=informatieblad!$A$4,informatieblad!$B$4,IF(B155=informatieblad!$A$5,informatieblad!$B$5,"")))))))</f>
        <v>0</v>
      </c>
      <c r="AS156" s="276">
        <f>IF(AR156=AS154,(4*C156),0)</f>
        <v>0</v>
      </c>
      <c r="AT156" s="274">
        <f>IF(AR156=AT154,(4*C156),0)</f>
        <v>0</v>
      </c>
      <c r="AU156" s="64"/>
      <c r="AV156" s="64"/>
      <c r="AW156" s="64"/>
    </row>
    <row r="157" spans="1:49" ht="21.75" thickBot="1">
      <c r="A157" s="386"/>
      <c r="B157" s="122"/>
      <c r="C157" s="336"/>
      <c r="D157" s="122"/>
      <c r="E157" s="122"/>
      <c r="F157" s="122"/>
      <c r="M157" s="176"/>
      <c r="N157" s="176"/>
      <c r="O157" s="83"/>
      <c r="P157" s="142"/>
      <c r="Q157" s="83"/>
      <c r="R157" s="142"/>
      <c r="S157" s="142"/>
      <c r="T157" s="143"/>
      <c r="U157" s="143"/>
      <c r="V157" s="339"/>
      <c r="W157" s="339"/>
      <c r="X157" s="339"/>
      <c r="Y157" s="64"/>
      <c r="Z157" s="64"/>
      <c r="AA157" s="64"/>
      <c r="AB157" s="189"/>
      <c r="AC157" s="166"/>
      <c r="AD157" s="166"/>
      <c r="AE157" s="166"/>
      <c r="AF157" s="83"/>
      <c r="AG157" s="144"/>
      <c r="AH157" s="144"/>
      <c r="AI157" s="142"/>
      <c r="AJ157" s="142"/>
      <c r="AK157" s="64"/>
      <c r="AL157" s="64"/>
      <c r="AM157" s="64"/>
      <c r="AN157" s="64"/>
      <c r="AO157" s="83"/>
      <c r="AP157" s="83"/>
      <c r="AQ157" s="64"/>
      <c r="AR157" s="83"/>
      <c r="AS157" s="83"/>
      <c r="AT157" s="83"/>
      <c r="AU157" s="64"/>
      <c r="AV157" s="64"/>
      <c r="AW157" s="64"/>
    </row>
    <row r="158" spans="1:49" ht="15.75" thickBot="1">
      <c r="A158" s="389" t="s">
        <v>14</v>
      </c>
      <c r="B158" s="390" t="s">
        <v>15</v>
      </c>
      <c r="C158" s="390" t="s">
        <v>16</v>
      </c>
      <c r="D158" s="84" t="s">
        <v>192</v>
      </c>
      <c r="E158" s="167"/>
      <c r="F158" s="167"/>
      <c r="G158" s="167"/>
      <c r="H158" s="167"/>
      <c r="I158" s="167"/>
      <c r="J158" s="167"/>
      <c r="K158" s="196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83"/>
      <c r="AL158" s="83"/>
      <c r="AM158" s="64"/>
      <c r="AN158" s="83"/>
      <c r="AO158" s="64"/>
      <c r="AP158" s="83"/>
      <c r="AQ158" s="64"/>
      <c r="AR158" s="83"/>
      <c r="AS158" s="83"/>
      <c r="AT158" s="83"/>
      <c r="AU158" s="83"/>
      <c r="AV158" s="83"/>
      <c r="AW158" s="83"/>
    </row>
    <row r="159" spans="1:49">
      <c r="A159" s="512">
        <f>A149</f>
        <v>0</v>
      </c>
      <c r="B159" s="388"/>
      <c r="C159" s="388"/>
      <c r="D159" s="388"/>
      <c r="E159" s="515"/>
      <c r="F159" s="516"/>
      <c r="G159" s="516"/>
      <c r="H159" s="517"/>
      <c r="I159" s="394"/>
      <c r="J159" s="394"/>
      <c r="K159" s="395"/>
      <c r="M159" s="64"/>
      <c r="N159" s="64"/>
      <c r="O159" s="97" t="s">
        <v>193</v>
      </c>
      <c r="P159" s="98" t="s">
        <v>27</v>
      </c>
      <c r="Q159" s="98" t="s">
        <v>28</v>
      </c>
      <c r="R159" s="98" t="s">
        <v>27</v>
      </c>
      <c r="S159" s="98" t="s">
        <v>28</v>
      </c>
      <c r="T159" s="98" t="s">
        <v>29</v>
      </c>
      <c r="U159" s="66" t="s">
        <v>30</v>
      </c>
      <c r="V159" s="99" t="s">
        <v>31</v>
      </c>
      <c r="W159" s="99"/>
      <c r="X159" s="99"/>
      <c r="Y159" s="98" t="s">
        <v>32</v>
      </c>
      <c r="Z159" s="98" t="s">
        <v>32</v>
      </c>
      <c r="AA159" s="98"/>
      <c r="AB159" s="98" t="s">
        <v>33</v>
      </c>
      <c r="AC159" s="100" t="s">
        <v>34</v>
      </c>
      <c r="AD159" s="98" t="s">
        <v>32</v>
      </c>
      <c r="AE159" s="98" t="s">
        <v>32</v>
      </c>
      <c r="AF159" s="98" t="s">
        <v>32</v>
      </c>
      <c r="AG159" s="98" t="s">
        <v>32</v>
      </c>
      <c r="AH159" s="98" t="s">
        <v>51</v>
      </c>
      <c r="AI159" s="101" t="s">
        <v>36</v>
      </c>
      <c r="AJ159" s="97" t="str">
        <f>informatieblad!$A$5</f>
        <v>none</v>
      </c>
      <c r="AK159" s="264"/>
      <c r="AL159" s="64"/>
      <c r="AM159" s="266" t="s">
        <v>17</v>
      </c>
      <c r="AN159" s="64"/>
      <c r="AO159" s="64"/>
      <c r="AP159" s="266" t="s">
        <v>37</v>
      </c>
      <c r="AQ159" s="64"/>
      <c r="AR159" s="269" t="s">
        <v>38</v>
      </c>
      <c r="AS159" s="272"/>
      <c r="AT159" s="272">
        <f>informatieblad!$B$3</f>
        <v>0</v>
      </c>
      <c r="AU159" s="272">
        <f>informatieblad!$B$3</f>
        <v>0</v>
      </c>
      <c r="AV159" s="272">
        <f>informatieblad!$B$4</f>
        <v>0</v>
      </c>
      <c r="AW159" s="264">
        <f>informatieblad!$B$4</f>
        <v>0</v>
      </c>
    </row>
    <row r="160" spans="1:49">
      <c r="A160" s="513"/>
      <c r="B160" s="102" t="str">
        <f>B150</f>
        <v>none</v>
      </c>
      <c r="C160" s="102" t="str">
        <f>B150</f>
        <v>none</v>
      </c>
      <c r="D160" s="369"/>
      <c r="E160" s="394"/>
      <c r="F160" s="370"/>
      <c r="G160" s="370"/>
      <c r="H160" s="393"/>
      <c r="I160" s="396"/>
      <c r="J160" s="394"/>
      <c r="K160" s="395"/>
      <c r="M160" s="64"/>
      <c r="N160" s="64"/>
      <c r="O160" s="103">
        <f>A159</f>
        <v>0</v>
      </c>
      <c r="P160" s="104" t="s">
        <v>39</v>
      </c>
      <c r="Q160" s="104" t="s">
        <v>39</v>
      </c>
      <c r="R160" s="104" t="s">
        <v>40</v>
      </c>
      <c r="S160" s="104" t="s">
        <v>40</v>
      </c>
      <c r="T160" s="104" t="s">
        <v>40</v>
      </c>
      <c r="U160" s="105"/>
      <c r="V160" s="106" t="s">
        <v>27</v>
      </c>
      <c r="W160" s="106" t="s">
        <v>40</v>
      </c>
      <c r="X160" s="106" t="s">
        <v>41</v>
      </c>
      <c r="Y160" s="104" t="s">
        <v>42</v>
      </c>
      <c r="Z160" s="104" t="s">
        <v>43</v>
      </c>
      <c r="AA160" s="104"/>
      <c r="AB160" s="104" t="s">
        <v>44</v>
      </c>
      <c r="AC160" s="107"/>
      <c r="AD160" s="104" t="s">
        <v>45</v>
      </c>
      <c r="AE160" s="104" t="s">
        <v>42</v>
      </c>
      <c r="AF160" s="104" t="s">
        <v>43</v>
      </c>
      <c r="AG160" s="104" t="s">
        <v>46</v>
      </c>
      <c r="AH160" s="108"/>
      <c r="AI160" s="109"/>
      <c r="AJ160" s="265"/>
      <c r="AK160" s="105"/>
      <c r="AL160" s="64"/>
      <c r="AM160" s="267"/>
      <c r="AN160" s="64"/>
      <c r="AO160" s="83" t="str">
        <f>'UC mounting materials '!$B$10</f>
        <v>Rail 30x15</v>
      </c>
      <c r="AP160" s="327">
        <f>IF(AB161&lt;1000,(AB161+100),0)*C161</f>
        <v>0</v>
      </c>
      <c r="AQ160" s="64"/>
      <c r="AR160" s="265" t="s">
        <v>47</v>
      </c>
      <c r="AS160" s="106" t="s">
        <v>48</v>
      </c>
      <c r="AT160" s="83" t="s">
        <v>23</v>
      </c>
      <c r="AU160" s="83" t="s">
        <v>23</v>
      </c>
      <c r="AV160" s="83" t="s">
        <v>23</v>
      </c>
      <c r="AW160" s="273" t="s">
        <v>23</v>
      </c>
    </row>
    <row r="161" spans="1:49" ht="15.75" thickBot="1">
      <c r="A161" s="514"/>
      <c r="B161" s="373" t="s">
        <v>23</v>
      </c>
      <c r="C161" s="373">
        <f>C151</f>
        <v>0</v>
      </c>
      <c r="D161" s="372">
        <f>C161*Q161</f>
        <v>0</v>
      </c>
      <c r="E161" s="391">
        <f>C156*O156</f>
        <v>0</v>
      </c>
      <c r="F161" s="392" t="s">
        <v>24</v>
      </c>
      <c r="G161" s="509"/>
      <c r="H161" s="510"/>
      <c r="I161" s="510"/>
      <c r="J161" s="510"/>
      <c r="K161" s="511"/>
      <c r="M161" s="64"/>
      <c r="N161" s="64"/>
      <c r="O161" s="111"/>
      <c r="P161" s="112">
        <f>(((2*(B159+C159))*D159)/1000000)</f>
        <v>0</v>
      </c>
      <c r="Q161" s="112">
        <f>((IF(P161&lt;=informatieblad!$I$12,informatieblad!$I$12,IF(P161&gt;=informatieblad!$I$12,P161))))</f>
        <v>0.5</v>
      </c>
      <c r="R161" s="112">
        <f>(((2*B159)+(2*C159))*D159)/1000000</f>
        <v>0</v>
      </c>
      <c r="S161" s="112">
        <f>((IF(R161&lt;=informatieblad!$H$12,informatieblad!$H$12,IF(R161&gt;=informatieblad!$H$12,R161))))</f>
        <v>0</v>
      </c>
      <c r="T161" s="113">
        <f>IF($C151&gt;0,(S161*Z161)+(S161*W161))*C161</f>
        <v>0</v>
      </c>
      <c r="U161" s="114">
        <f>IF($C151&gt;0,(Q161*Y161)+(Q161*X161))*C161</f>
        <v>0</v>
      </c>
      <c r="V161" s="115">
        <f>I161</f>
        <v>0</v>
      </c>
      <c r="W161" s="116" t="e">
        <f>VLOOKUP(G161,informatieblad!$A$37:$D$41,2,FALSE)</f>
        <v>#N/A</v>
      </c>
      <c r="X161" s="116" t="e">
        <f>VLOOKUP(G161,informatieblad!$A$37:$D$41,4,FALSE)</f>
        <v>#N/A</v>
      </c>
      <c r="Y161" s="117">
        <f>((IF(D159&lt;=900,AE161,IF(D159&gt;=900,AG161))))</f>
        <v>45.1248</v>
      </c>
      <c r="Z161" s="118">
        <f>((IF(D159&lt;=900,AD161,IF(D159&gt;=900,AF161))))</f>
        <v>0</v>
      </c>
      <c r="AA161" s="119"/>
      <c r="AB161" s="119">
        <f>(MAX(B159:C159))</f>
        <v>0</v>
      </c>
      <c r="AC161" s="119">
        <f>LOOKUP(AB161,informatieblad!$C$27:$C$32,informatieblad!$A$27:$A$32)</f>
        <v>0.5</v>
      </c>
      <c r="AD161" s="118">
        <f>VLOOKUP(AC161,informatieblad!$A$27:$M$32,6,FALSE)</f>
        <v>0</v>
      </c>
      <c r="AE161" s="118">
        <f>VLOOKUP(AC161,informatieblad!$A$27:$M$32,8,FALSE)</f>
        <v>45.1248</v>
      </c>
      <c r="AF161" s="118">
        <f>VLOOKUP(AC161,informatieblad!$A$27:$M$32,9,FALSE)</f>
        <v>0</v>
      </c>
      <c r="AG161" s="118">
        <f>VLOOKUP(AC161,informatieblad!$A$27:$M$32,11,FALSE)</f>
        <v>32.463200000000001</v>
      </c>
      <c r="AH161" s="120">
        <f>VLOOKUP(AC161,informatieblad!$A$27:$M$32,13,FALSE)</f>
        <v>4</v>
      </c>
      <c r="AI161" s="121">
        <f>ROUND((AH161*R161),1)</f>
        <v>0</v>
      </c>
      <c r="AJ161" s="111">
        <f>(IF(B160=AJ159,((2*B159)+(2*C159)),0))*C161</f>
        <v>0</v>
      </c>
      <c r="AK161" s="260">
        <f>(IF(C160=AJ159,((2*B159)+(2*C159)),0))*C161</f>
        <v>0</v>
      </c>
      <c r="AL161" s="64"/>
      <c r="AM161" s="268">
        <f>D159*C161</f>
        <v>0</v>
      </c>
      <c r="AN161" s="64"/>
      <c r="AO161" s="83" t="str">
        <f>'UC mounting materials '!$B$11</f>
        <v>Rail 41x41</v>
      </c>
      <c r="AP161" s="268">
        <f>IF(AB161&gt;999,(AB161+100),0)*C161</f>
        <v>0</v>
      </c>
      <c r="AQ161" s="64"/>
      <c r="AR161" s="111">
        <f>IF(B160=informatieblad!$A$6,informatieblad!$B$6,IF(B160=informatieblad!$A$7,informatieblad!$B$7,IF(B160=informatieblad!$A$8,informatieblad!$B$8,IF(B160=informatieblad!$A$2,informatieblad!$B$2,IF(B160=informatieblad!$A$3,informatieblad!$B$3,IF(B160=informatieblad!$A$4,informatieblad!$B$4,IF(B160=informatieblad!$A$5,informatieblad!$B$5,"")))))))</f>
        <v>0</v>
      </c>
      <c r="AS161" s="275">
        <f>IF(C160=informatieblad!$A$6,informatieblad!$B$6,IF(C160=informatieblad!$A$7,informatieblad!$B$7,IF(C160=informatieblad!$A$8,informatieblad!$B$8,IF(C160=informatieblad!$A$2,informatieblad!$B$2,IF(C160=informatieblad!$A$3,informatieblad!$B$3,IF(C160=informatieblad!$A$4,informatieblad!$B$4,IF(C160=informatieblad!$A$5,informatieblad!$B$5,"")))))))</f>
        <v>0</v>
      </c>
      <c r="AT161" s="276">
        <f>IF(AR161=AT159,(4*C161),0)</f>
        <v>0</v>
      </c>
      <c r="AU161" s="276">
        <f>IF(AS161=AT159,(4*C161),0)</f>
        <v>0</v>
      </c>
      <c r="AV161" s="276">
        <f>IF(AR161=AV159,(4*C161),0)</f>
        <v>0</v>
      </c>
      <c r="AW161" s="274">
        <f>IF(AS161=AV159,(4*C161),0)</f>
        <v>0</v>
      </c>
    </row>
    <row r="162" spans="1:49" ht="15.75" thickBot="1">
      <c r="A162" s="122"/>
      <c r="B162" s="122"/>
      <c r="C162" s="122"/>
      <c r="D162" s="122"/>
      <c r="E162" s="122"/>
      <c r="F162" s="122"/>
      <c r="G162" s="122"/>
      <c r="H162" s="122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83"/>
      <c r="AL162" s="83"/>
      <c r="AM162" s="64"/>
      <c r="AN162" s="83"/>
      <c r="AO162" s="64"/>
      <c r="AP162" s="131"/>
      <c r="AQ162" s="64"/>
      <c r="AR162" s="83"/>
      <c r="AS162" s="83"/>
      <c r="AT162" s="280" t="s">
        <v>70</v>
      </c>
      <c r="AU162" s="278" cm="1">
        <f t="array" ref="AU162">SUM(AS18+AS23+AT28:AU28+AS37+AS42+AU47:AV47+AS56+AU66:AV66+AS75+AT85:AU85+AS94+AS99+AT104:AU104+AS113+AS118+AT123:AU123+AS132+AT142:AU142+AS151+AS156+AT161:AU161)</f>
        <v>0</v>
      </c>
      <c r="AV162" s="277" t="s">
        <v>71</v>
      </c>
      <c r="AW162" s="278" cm="1">
        <f t="array" ref="AW162">SUM(AT18+AT23+AV28:AW28+AT37+AT42+AV47:AW47+AT56+AT61+AV66:AW66+AT75+AT80+AV85:AW85+AT94+AT99+AV104:AW104+AT113+AT118+AV123:AW123+AT132+AT137+AV142:AW142+AT151+AT156+AV161:AW161)</f>
        <v>0</v>
      </c>
    </row>
    <row r="163" spans="1:49">
      <c r="O163" s="97" t="s">
        <v>193</v>
      </c>
      <c r="P163" s="98" t="s">
        <v>27</v>
      </c>
      <c r="Q163" s="98" t="s">
        <v>28</v>
      </c>
      <c r="R163" s="98" t="s">
        <v>27</v>
      </c>
      <c r="S163" s="98" t="s">
        <v>28</v>
      </c>
      <c r="T163" s="98" t="s">
        <v>29</v>
      </c>
      <c r="U163" s="66" t="s">
        <v>30</v>
      </c>
      <c r="AO163" s="284" t="str">
        <f>'UC mounting materials '!$B$10</f>
        <v>Rail 30x15</v>
      </c>
      <c r="AP163" s="285" t="str">
        <f>'UC mounting materials '!$B$11</f>
        <v>Rail 41x41</v>
      </c>
      <c r="AQ163" s="64"/>
      <c r="AR163" s="83"/>
      <c r="AS163" s="83"/>
      <c r="AT163" s="83"/>
      <c r="AU163" s="83"/>
      <c r="AV163" s="83"/>
      <c r="AW163" s="83"/>
    </row>
    <row r="164" spans="1:49" ht="15.75" thickBot="1">
      <c r="O164" s="103">
        <f>A149</f>
        <v>0</v>
      </c>
      <c r="P164" s="104" t="s">
        <v>39</v>
      </c>
      <c r="Q164" s="104" t="s">
        <v>39</v>
      </c>
      <c r="R164" s="104" t="s">
        <v>40</v>
      </c>
      <c r="S164" s="104" t="s">
        <v>40</v>
      </c>
      <c r="T164" s="104" t="s">
        <v>40</v>
      </c>
      <c r="U164" s="105"/>
      <c r="AO164" s="111">
        <f>SUM(AP17+AP22+AP27+AP36+AP41+AP46+AP55+AP60+AP65+AP74+AP79+AP84+AP93+AP98+AP103+AP112+AP117+AP122+AP131+AP136+AP141+AP150+AP155+AP160)</f>
        <v>0</v>
      </c>
      <c r="AP164" s="283">
        <f>SUM(AP18+AP23+AP28+AP37+AP42+AP47+AP56+AP61+AP66+AP75+AP80+AP85+AP94+AP99+AP104+AP113+AP118+AP123+AP137+AP142+AP151+AP156+AP161)</f>
        <v>0</v>
      </c>
      <c r="AQ164" s="64"/>
      <c r="AR164" s="83"/>
      <c r="AS164" s="83"/>
      <c r="AT164" s="83"/>
      <c r="AU164" s="83"/>
      <c r="AV164" s="83"/>
      <c r="AW164" s="83"/>
    </row>
    <row r="165" spans="1:49" ht="15.75" thickBot="1">
      <c r="O165" s="111"/>
      <c r="P165" s="112">
        <f t="shared" ref="P165:U165" si="7">SUM(P151,P156,P161)</f>
        <v>0</v>
      </c>
      <c r="Q165" s="112">
        <f t="shared" si="7"/>
        <v>0.5</v>
      </c>
      <c r="R165" s="112">
        <f t="shared" si="7"/>
        <v>0</v>
      </c>
      <c r="S165" s="112">
        <f t="shared" si="7"/>
        <v>0</v>
      </c>
      <c r="T165" s="113">
        <f t="shared" si="7"/>
        <v>0</v>
      </c>
      <c r="U165" s="114">
        <f t="shared" si="7"/>
        <v>0</v>
      </c>
    </row>
  </sheetData>
  <sheetProtection algorithmName="SHA-512" hashValue="qKC7+QKi76bK32Yr8K/ydKbonJA+QBfPnDH41HALHPKcGz6k/6+ZlJcsK+FLeDRL//yexW70mSCNsI7WEt7xPw==" saltValue="zBooL5WWNffaxiBEw8uodg==" spinCount="100000" sheet="1" objects="1" scenarios="1"/>
  <mergeCells count="88">
    <mergeCell ref="B155:C155"/>
    <mergeCell ref="H155:J155"/>
    <mergeCell ref="A121:A123"/>
    <mergeCell ref="E121:H121"/>
    <mergeCell ref="G123:K123"/>
    <mergeCell ref="A130:A132"/>
    <mergeCell ref="B131:C131"/>
    <mergeCell ref="H131:J131"/>
    <mergeCell ref="G132:K132"/>
    <mergeCell ref="A83:A85"/>
    <mergeCell ref="E83:H83"/>
    <mergeCell ref="G85:K85"/>
    <mergeCell ref="A92:A94"/>
    <mergeCell ref="B93:C93"/>
    <mergeCell ref="H93:J93"/>
    <mergeCell ref="G94:K94"/>
    <mergeCell ref="G156:K156"/>
    <mergeCell ref="A159:A161"/>
    <mergeCell ref="A135:A137"/>
    <mergeCell ref="B136:C136"/>
    <mergeCell ref="H136:J136"/>
    <mergeCell ref="G137:K137"/>
    <mergeCell ref="A140:A142"/>
    <mergeCell ref="E140:H140"/>
    <mergeCell ref="G142:K142"/>
    <mergeCell ref="E159:H159"/>
    <mergeCell ref="G161:K161"/>
    <mergeCell ref="A149:A151"/>
    <mergeCell ref="B150:C150"/>
    <mergeCell ref="H150:J150"/>
    <mergeCell ref="G151:K151"/>
    <mergeCell ref="A154:A156"/>
    <mergeCell ref="A111:A113"/>
    <mergeCell ref="B112:C112"/>
    <mergeCell ref="H112:J112"/>
    <mergeCell ref="G113:K113"/>
    <mergeCell ref="A116:A118"/>
    <mergeCell ref="G118:K118"/>
    <mergeCell ref="B117:C117"/>
    <mergeCell ref="H117:J117"/>
    <mergeCell ref="A97:A99"/>
    <mergeCell ref="B98:C98"/>
    <mergeCell ref="H98:J98"/>
    <mergeCell ref="G99:K99"/>
    <mergeCell ref="A102:A104"/>
    <mergeCell ref="E102:H102"/>
    <mergeCell ref="G104:K104"/>
    <mergeCell ref="A73:A75"/>
    <mergeCell ref="B74:C74"/>
    <mergeCell ref="H74:J74"/>
    <mergeCell ref="G75:K75"/>
    <mergeCell ref="A78:A80"/>
    <mergeCell ref="B79:C79"/>
    <mergeCell ref="H79:J79"/>
    <mergeCell ref="G80:K80"/>
    <mergeCell ref="A64:A66"/>
    <mergeCell ref="E64:H64"/>
    <mergeCell ref="G66:K66"/>
    <mergeCell ref="A54:A56"/>
    <mergeCell ref="B55:C55"/>
    <mergeCell ref="H55:J55"/>
    <mergeCell ref="G56:K56"/>
    <mergeCell ref="A59:A61"/>
    <mergeCell ref="B60:C60"/>
    <mergeCell ref="H60:J60"/>
    <mergeCell ref="G61:K61"/>
    <mergeCell ref="A40:A42"/>
    <mergeCell ref="B41:C41"/>
    <mergeCell ref="H41:J41"/>
    <mergeCell ref="G42:K42"/>
    <mergeCell ref="A45:A47"/>
    <mergeCell ref="E45:H45"/>
    <mergeCell ref="G47:K47"/>
    <mergeCell ref="G28:K28"/>
    <mergeCell ref="A35:A37"/>
    <mergeCell ref="B36:C36"/>
    <mergeCell ref="H36:J36"/>
    <mergeCell ref="G37:K37"/>
    <mergeCell ref="A26:A28"/>
    <mergeCell ref="E26:H26"/>
    <mergeCell ref="A16:A18"/>
    <mergeCell ref="B17:C17"/>
    <mergeCell ref="H17:J17"/>
    <mergeCell ref="G18:K18"/>
    <mergeCell ref="A21:A23"/>
    <mergeCell ref="B22:C22"/>
    <mergeCell ref="H22:J22"/>
    <mergeCell ref="G23:K23"/>
  </mergeCells>
  <phoneticPr fontId="3" type="noConversion"/>
  <conditionalFormatting sqref="D26 D45 D64 D83 D102 D121 D140 D159">
    <cfRule type="cellIs" dxfId="1" priority="3" operator="greaterThan">
      <formula>1500</formula>
    </cfRule>
    <cfRule type="cellIs" dxfId="0" priority="4" operator="between">
      <formula>1</formula>
      <formula>99</formula>
    </cfRule>
  </conditionalFormatting>
  <dataValidations disablePrompts="1" count="1">
    <dataValidation type="list" allowBlank="1" showInputMessage="1" showErrorMessage="1" sqref="G18:K18 G37:K37 G56:K56 G75:K75 G94:K94 G113:K113 G132:K132 G151:K151" xr:uid="{4C1BA256-A35D-4826-A59F-5E91137E1A47}">
      <formula1>Options_Ducts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4D66-FBA3-46AD-85A3-C90B3EAD6BD8}">
  <sheetPr codeName="Blad7"/>
  <dimension ref="A1:U52"/>
  <sheetViews>
    <sheetView showGridLines="0" tabSelected="1" zoomScaleNormal="100" workbookViewId="0">
      <selection activeCell="H27" sqref="H27"/>
    </sheetView>
  </sheetViews>
  <sheetFormatPr defaultColWidth="9.140625" defaultRowHeight="14.25"/>
  <cols>
    <col min="1" max="1" width="33" style="1" bestFit="1" customWidth="1"/>
    <col min="2" max="2" width="11.7109375" style="1" bestFit="1" customWidth="1"/>
    <col min="3" max="3" width="22.140625" style="1" bestFit="1" customWidth="1"/>
    <col min="4" max="4" width="44.28515625" style="1" bestFit="1" customWidth="1"/>
    <col min="5" max="5" width="9.140625" style="1"/>
    <col min="6" max="6" width="11.140625" style="1" bestFit="1" customWidth="1"/>
    <col min="7" max="7" width="13.5703125" style="1" customWidth="1"/>
    <col min="8" max="8" width="13.7109375" style="1" customWidth="1"/>
    <col min="9" max="9" width="11.7109375" style="1" bestFit="1" customWidth="1"/>
    <col min="10" max="10" width="9.5703125" style="1" bestFit="1" customWidth="1"/>
    <col min="11" max="11" width="13.7109375" style="1" bestFit="1" customWidth="1"/>
    <col min="12" max="12" width="25.5703125" style="1" bestFit="1" customWidth="1"/>
    <col min="13" max="13" width="9.42578125" style="1" bestFit="1" customWidth="1"/>
    <col min="14" max="15" width="9.140625" style="1"/>
    <col min="16" max="16" width="18.5703125" style="1" bestFit="1" customWidth="1"/>
    <col min="17" max="20" width="9.140625" style="1"/>
    <col min="21" max="21" width="30.5703125" style="1" customWidth="1"/>
    <col min="22" max="16384" width="9.140625" style="1"/>
  </cols>
  <sheetData>
    <row r="1" spans="1:18">
      <c r="A1" s="47" t="s">
        <v>196</v>
      </c>
      <c r="B1" s="45"/>
      <c r="C1" s="11"/>
      <c r="P1" s="12" t="s">
        <v>197</v>
      </c>
      <c r="Q1" s="12" t="s">
        <v>198</v>
      </c>
      <c r="R1" s="12" t="s">
        <v>199</v>
      </c>
    </row>
    <row r="2" spans="1:18">
      <c r="A2" s="48" t="s">
        <v>200</v>
      </c>
      <c r="B2" s="270"/>
      <c r="D2" s="13"/>
      <c r="E2" s="13"/>
      <c r="P2" s="1" t="s">
        <v>201</v>
      </c>
      <c r="Q2" s="1">
        <v>0</v>
      </c>
    </row>
    <row r="3" spans="1:18">
      <c r="A3" s="48" t="s">
        <v>202</v>
      </c>
      <c r="B3" s="270"/>
      <c r="P3" s="10" t="s">
        <v>80</v>
      </c>
      <c r="Q3" s="10">
        <v>1</v>
      </c>
      <c r="R3" s="10">
        <v>999</v>
      </c>
    </row>
    <row r="4" spans="1:18">
      <c r="A4" s="48" t="s">
        <v>203</v>
      </c>
      <c r="B4" s="270"/>
      <c r="P4" s="10" t="s">
        <v>21</v>
      </c>
      <c r="Q4" s="10">
        <v>1000</v>
      </c>
      <c r="R4" s="10">
        <v>1799</v>
      </c>
    </row>
    <row r="5" spans="1:18">
      <c r="A5" s="48" t="s">
        <v>204</v>
      </c>
      <c r="B5" s="270"/>
      <c r="F5" s="11"/>
      <c r="H5" s="2"/>
      <c r="P5" s="10" t="s">
        <v>205</v>
      </c>
      <c r="Q5" s="10">
        <v>1800</v>
      </c>
      <c r="R5" s="10">
        <v>5000</v>
      </c>
    </row>
    <row r="6" spans="1:18">
      <c r="A6" s="48" t="s">
        <v>80</v>
      </c>
      <c r="B6" s="270"/>
      <c r="H6" s="2"/>
    </row>
    <row r="7" spans="1:18">
      <c r="A7" s="48" t="s">
        <v>21</v>
      </c>
      <c r="B7" s="270"/>
    </row>
    <row r="8" spans="1:18">
      <c r="A8" s="48" t="s">
        <v>205</v>
      </c>
      <c r="B8" s="270"/>
    </row>
    <row r="9" spans="1:18">
      <c r="A9" s="46">
        <v>0</v>
      </c>
      <c r="B9" s="271"/>
    </row>
    <row r="10" spans="1:18" hidden="1">
      <c r="H10" s="43" t="s">
        <v>206</v>
      </c>
      <c r="I10" s="45"/>
    </row>
    <row r="11" spans="1:18" hidden="1">
      <c r="C11" s="11"/>
      <c r="D11" s="11" t="s">
        <v>207</v>
      </c>
      <c r="H11" s="49"/>
      <c r="I11" s="49" t="s">
        <v>39</v>
      </c>
      <c r="P11" s="12"/>
      <c r="Q11" s="12"/>
      <c r="R11" s="12"/>
    </row>
    <row r="12" spans="1:18" hidden="1">
      <c r="A12" s="47" t="s">
        <v>208</v>
      </c>
      <c r="B12" s="44" t="s">
        <v>209</v>
      </c>
      <c r="C12" s="44"/>
      <c r="D12" s="44" t="str">
        <f>A12&amp;" "&amp;" ("&amp;B12&amp;")"</f>
        <v>Rechte Kanalen  (RctD)</v>
      </c>
      <c r="E12" s="44"/>
      <c r="F12" s="44" t="s">
        <v>210</v>
      </c>
      <c r="G12" s="44"/>
      <c r="H12" s="50"/>
      <c r="I12" s="50">
        <v>0.5</v>
      </c>
    </row>
    <row r="13" spans="1:18" hidden="1">
      <c r="A13" s="48" t="s">
        <v>211</v>
      </c>
      <c r="B13" s="1" t="s">
        <v>212</v>
      </c>
      <c r="D13" s="1" t="str">
        <f t="shared" ref="D13:D18" si="0">A13&amp;" "&amp;" ("&amp;B13&amp;")"</f>
        <v>Verloopstukken  (RctR)</v>
      </c>
      <c r="F13" s="1" t="s">
        <v>213</v>
      </c>
      <c r="H13" s="51"/>
      <c r="I13" s="51">
        <v>0.5</v>
      </c>
      <c r="P13" s="10"/>
      <c r="Q13" s="10"/>
      <c r="R13" s="10"/>
    </row>
    <row r="14" spans="1:18" hidden="1">
      <c r="A14" s="48" t="s">
        <v>214</v>
      </c>
      <c r="B14" s="1" t="s">
        <v>215</v>
      </c>
      <c r="D14" s="1" t="str">
        <f t="shared" si="0"/>
        <v>Bochten  (RctB)</v>
      </c>
      <c r="F14" s="1" t="s">
        <v>216</v>
      </c>
      <c r="H14" s="51"/>
      <c r="I14" s="51">
        <v>0.5</v>
      </c>
      <c r="P14" s="10"/>
      <c r="Q14" s="10"/>
      <c r="R14" s="10"/>
    </row>
    <row r="15" spans="1:18" hidden="1">
      <c r="A15" s="48" t="s">
        <v>217</v>
      </c>
      <c r="B15" s="1" t="s">
        <v>218</v>
      </c>
      <c r="D15" s="1" t="str">
        <f t="shared" si="0"/>
        <v>Verlopen Recht-Rond  (RctRR)</v>
      </c>
      <c r="H15" s="51"/>
      <c r="I15" s="51">
        <v>1</v>
      </c>
      <c r="P15" s="10"/>
      <c r="Q15" s="10"/>
      <c r="R15" s="10"/>
    </row>
    <row r="16" spans="1:18" hidden="1">
      <c r="A16" s="48" t="s">
        <v>219</v>
      </c>
      <c r="B16" s="1" t="s">
        <v>220</v>
      </c>
      <c r="D16" s="1" t="str">
        <f t="shared" si="0"/>
        <v>T-stukken  (RctT)</v>
      </c>
      <c r="H16" s="51"/>
      <c r="I16" s="51">
        <v>0.5</v>
      </c>
    </row>
    <row r="17" spans="1:16" hidden="1">
      <c r="A17" s="48" t="s">
        <v>221</v>
      </c>
      <c r="B17" s="1" t="s">
        <v>222</v>
      </c>
      <c r="D17" s="1" t="str">
        <f t="shared" si="0"/>
        <v>Deksels  (RctE)</v>
      </c>
      <c r="H17" s="51"/>
      <c r="I17" s="51">
        <v>0.5</v>
      </c>
    </row>
    <row r="18" spans="1:16" hidden="1">
      <c r="A18" s="48" t="s">
        <v>223</v>
      </c>
      <c r="B18" s="1" t="s">
        <v>224</v>
      </c>
      <c r="D18" s="1" t="str">
        <f t="shared" si="0"/>
        <v>Eindstukken Gaas 45  (RctG)</v>
      </c>
      <c r="H18" s="51"/>
      <c r="I18" s="51">
        <v>0.5</v>
      </c>
    </row>
    <row r="19" spans="1:16" hidden="1">
      <c r="A19" s="48" t="s">
        <v>225</v>
      </c>
      <c r="B19" s="1" t="s">
        <v>226</v>
      </c>
      <c r="D19" s="1" t="str">
        <f t="shared" ref="D19:D22" si="1">A19&amp;" "&amp;" ("&amp;B19&amp;")"</f>
        <v>Rechte Aftakkingen  (RctS)</v>
      </c>
      <c r="H19" s="51"/>
      <c r="I19" s="51">
        <v>0.5</v>
      </c>
    </row>
    <row r="20" spans="1:16" hidden="1">
      <c r="A20" s="48" t="s">
        <v>227</v>
      </c>
      <c r="B20" s="1" t="s">
        <v>228</v>
      </c>
      <c r="D20" s="1" t="str">
        <f t="shared" si="1"/>
        <v>Sprongstukken  (RctJ)</v>
      </c>
      <c r="H20" s="51"/>
      <c r="I20" s="51">
        <v>0.5</v>
      </c>
    </row>
    <row r="21" spans="1:16" hidden="1">
      <c r="A21" s="48" t="s">
        <v>229</v>
      </c>
      <c r="B21" s="1" t="s">
        <v>230</v>
      </c>
      <c r="D21" s="1" t="str">
        <f t="shared" si="1"/>
        <v>Kanalen met Klep  (RctV)</v>
      </c>
      <c r="H21" s="51"/>
      <c r="I21" s="51">
        <f>I12</f>
        <v>0.5</v>
      </c>
    </row>
    <row r="22" spans="1:16" hidden="1">
      <c r="A22" s="46" t="s">
        <v>231</v>
      </c>
      <c r="B22" s="305" t="s">
        <v>232</v>
      </c>
      <c r="C22" s="305"/>
      <c r="D22" s="305" t="str">
        <f t="shared" si="1"/>
        <v>Kattenruggen  (RctK)</v>
      </c>
      <c r="E22" s="305"/>
      <c r="F22" s="305"/>
      <c r="G22" s="305"/>
      <c r="H22" s="306"/>
      <c r="I22" s="306">
        <v>1</v>
      </c>
    </row>
    <row r="23" spans="1:16" hidden="1"/>
    <row r="24" spans="1:16" ht="15" thickBot="1">
      <c r="P24" s="279"/>
    </row>
    <row r="25" spans="1:16">
      <c r="A25" s="28"/>
      <c r="B25" s="5"/>
      <c r="C25" s="18" t="s">
        <v>233</v>
      </c>
      <c r="D25" s="29"/>
      <c r="E25" s="36"/>
      <c r="F25" s="18"/>
      <c r="G25" s="4"/>
      <c r="H25" s="441" t="s">
        <v>234</v>
      </c>
      <c r="I25" s="14"/>
      <c r="J25" s="18"/>
      <c r="K25" s="441" t="s">
        <v>234</v>
      </c>
      <c r="L25" s="4"/>
      <c r="M25" s="39"/>
    </row>
    <row r="26" spans="1:16" ht="15" thickBot="1">
      <c r="A26" s="20" t="s">
        <v>235</v>
      </c>
      <c r="B26" s="8"/>
      <c r="C26" s="32" t="s">
        <v>198</v>
      </c>
      <c r="D26" s="32" t="s">
        <v>199</v>
      </c>
      <c r="E26" s="38"/>
      <c r="F26" s="32"/>
      <c r="G26" s="17"/>
      <c r="H26" s="21" t="s">
        <v>236</v>
      </c>
      <c r="I26" s="20"/>
      <c r="J26" s="17"/>
      <c r="K26" s="21" t="s">
        <v>236</v>
      </c>
      <c r="M26" s="42" t="s">
        <v>35</v>
      </c>
      <c r="P26" s="2"/>
    </row>
    <row r="27" spans="1:16">
      <c r="A27" s="28">
        <v>0.5</v>
      </c>
      <c r="B27" s="5" t="s">
        <v>237</v>
      </c>
      <c r="C27" s="28">
        <v>0</v>
      </c>
      <c r="D27" s="31">
        <v>250</v>
      </c>
      <c r="E27" s="36">
        <v>1</v>
      </c>
      <c r="F27" s="34"/>
      <c r="G27" s="2"/>
      <c r="H27" s="16">
        <v>45.1248</v>
      </c>
      <c r="I27" s="15"/>
      <c r="J27" s="2"/>
      <c r="K27" s="19">
        <v>32.463200000000001</v>
      </c>
      <c r="L27" s="39" t="str">
        <f>C27&amp;" "&amp;"-"&amp;D27&amp;" "&amp;A27&amp;""&amp;" "&amp;B27</f>
        <v>0 -250 0,5 mm</v>
      </c>
      <c r="M27" s="26">
        <v>4</v>
      </c>
      <c r="P27" s="2"/>
    </row>
    <row r="28" spans="1:16">
      <c r="A28" s="30">
        <v>0.75</v>
      </c>
      <c r="B28" s="6" t="s">
        <v>237</v>
      </c>
      <c r="C28" s="30">
        <v>251</v>
      </c>
      <c r="D28" s="9">
        <v>500</v>
      </c>
      <c r="E28" s="37">
        <v>2</v>
      </c>
      <c r="F28" s="34"/>
      <c r="G28" s="2"/>
      <c r="H28" s="16">
        <v>53.978399999999986</v>
      </c>
      <c r="I28" s="15"/>
      <c r="J28" s="2"/>
      <c r="K28" s="19">
        <v>39.793599999999998</v>
      </c>
      <c r="L28" s="40" t="str">
        <f t="shared" ref="L28:L32" si="2">C28&amp;" "&amp;"-"&amp;D28&amp;" "&amp;A28&amp;""&amp;" "&amp;B28</f>
        <v>251 -500 0,75 mm</v>
      </c>
      <c r="M28" s="26">
        <v>6</v>
      </c>
      <c r="P28" s="2"/>
    </row>
    <row r="29" spans="1:16">
      <c r="A29" s="30">
        <v>0.88</v>
      </c>
      <c r="B29" s="6" t="s">
        <v>237</v>
      </c>
      <c r="C29" s="30">
        <v>501</v>
      </c>
      <c r="D29" s="9">
        <v>1000</v>
      </c>
      <c r="E29" s="37">
        <v>3</v>
      </c>
      <c r="F29" s="34"/>
      <c r="G29" s="2"/>
      <c r="H29" s="16">
        <v>59.690399999999997</v>
      </c>
      <c r="I29" s="15"/>
      <c r="J29" s="2"/>
      <c r="K29" s="19">
        <v>47.909400000000005</v>
      </c>
      <c r="L29" s="40" t="str">
        <f t="shared" si="2"/>
        <v>501 -1000 0,88 mm</v>
      </c>
      <c r="M29" s="26">
        <v>7</v>
      </c>
      <c r="P29" s="2"/>
    </row>
    <row r="30" spans="1:16">
      <c r="A30" s="30">
        <v>1</v>
      </c>
      <c r="B30" s="6" t="s">
        <v>237</v>
      </c>
      <c r="C30" s="30">
        <v>1001</v>
      </c>
      <c r="D30" s="9">
        <v>1500</v>
      </c>
      <c r="E30" s="37">
        <v>4</v>
      </c>
      <c r="F30" s="34"/>
      <c r="G30" s="2"/>
      <c r="H30" s="16">
        <v>66.830399999999983</v>
      </c>
      <c r="I30" s="15"/>
      <c r="J30" s="2"/>
      <c r="K30" s="19">
        <v>54.192600000000006</v>
      </c>
      <c r="L30" s="40" t="str">
        <f t="shared" si="2"/>
        <v>1001 -1500 1 mm</v>
      </c>
      <c r="M30" s="26">
        <v>8</v>
      </c>
    </row>
    <row r="31" spans="1:16">
      <c r="A31" s="30">
        <v>1.25</v>
      </c>
      <c r="B31" s="6" t="s">
        <v>237</v>
      </c>
      <c r="C31" s="30">
        <v>1501</v>
      </c>
      <c r="D31" s="9">
        <v>2000</v>
      </c>
      <c r="E31" s="37">
        <v>5</v>
      </c>
      <c r="F31" s="34"/>
      <c r="G31" s="2"/>
      <c r="H31" s="16">
        <v>79.111199999999997</v>
      </c>
      <c r="I31" s="15"/>
      <c r="J31" s="2"/>
      <c r="K31" s="19">
        <v>65.188199999999995</v>
      </c>
      <c r="L31" s="40" t="str">
        <f t="shared" si="2"/>
        <v>1501 -2000 1,25 mm</v>
      </c>
      <c r="M31" s="26">
        <v>10</v>
      </c>
    </row>
    <row r="32" spans="1:16" ht="15" thickBot="1">
      <c r="A32" s="35">
        <v>1.25</v>
      </c>
      <c r="B32" s="8" t="s">
        <v>237</v>
      </c>
      <c r="C32" s="35">
        <v>2001</v>
      </c>
      <c r="D32" s="33">
        <v>3000</v>
      </c>
      <c r="E32" s="38">
        <v>6</v>
      </c>
      <c r="F32" s="34"/>
      <c r="G32" s="2"/>
      <c r="H32" s="16">
        <v>87.393600000000006</v>
      </c>
      <c r="I32" s="15"/>
      <c r="J32" s="2"/>
      <c r="K32" s="19">
        <v>76.183800000000005</v>
      </c>
      <c r="L32" s="41" t="str">
        <f t="shared" si="2"/>
        <v>2001 -3000 1,25 mm</v>
      </c>
      <c r="M32" s="27">
        <v>10</v>
      </c>
    </row>
    <row r="33" spans="1:21" ht="15" thickBot="1">
      <c r="A33" s="7"/>
      <c r="B33" s="3"/>
      <c r="C33" s="3"/>
      <c r="D33" s="3"/>
      <c r="E33" s="3"/>
      <c r="F33" s="22"/>
      <c r="G33" s="23"/>
      <c r="H33" s="24"/>
      <c r="I33" s="22"/>
      <c r="J33" s="23"/>
      <c r="K33" s="24"/>
      <c r="L33" s="3"/>
      <c r="M33" s="25" t="s">
        <v>238</v>
      </c>
    </row>
    <row r="35" spans="1:21">
      <c r="A35" s="50"/>
      <c r="B35" s="55"/>
      <c r="C35" s="50"/>
      <c r="D35" s="55" t="s">
        <v>234</v>
      </c>
    </row>
    <row r="36" spans="1:21">
      <c r="A36" s="52" t="s">
        <v>239</v>
      </c>
      <c r="B36" s="56"/>
      <c r="C36" s="56"/>
      <c r="D36" s="56" t="s">
        <v>236</v>
      </c>
    </row>
    <row r="37" spans="1:21">
      <c r="A37" s="53" t="s">
        <v>25</v>
      </c>
      <c r="B37" s="57"/>
      <c r="C37" s="53"/>
      <c r="D37" s="59">
        <v>0</v>
      </c>
    </row>
    <row r="38" spans="1:21">
      <c r="A38" s="53" t="s">
        <v>240</v>
      </c>
      <c r="B38" s="57"/>
      <c r="C38" s="53"/>
      <c r="D38" s="59">
        <v>22.596</v>
      </c>
    </row>
    <row r="39" spans="1:21">
      <c r="A39" s="53" t="s">
        <v>241</v>
      </c>
      <c r="B39" s="57"/>
      <c r="C39" s="53"/>
      <c r="D39" s="59">
        <v>49.28</v>
      </c>
    </row>
    <row r="40" spans="1:21">
      <c r="A40" s="53" t="s">
        <v>242</v>
      </c>
      <c r="B40" s="57"/>
      <c r="C40" s="53"/>
      <c r="D40" s="59">
        <v>23.799999999999997</v>
      </c>
    </row>
    <row r="41" spans="1:21">
      <c r="A41" s="54" t="s">
        <v>243</v>
      </c>
      <c r="B41" s="58"/>
      <c r="C41" s="54"/>
      <c r="D41" s="60">
        <v>2.8</v>
      </c>
    </row>
    <row r="42" spans="1:21" ht="15" thickBot="1"/>
    <row r="43" spans="1:21" ht="200.1" customHeight="1">
      <c r="T43" s="330" t="str">
        <f>B12</f>
        <v>RctD</v>
      </c>
      <c r="U43" s="5" t="e" vm="2">
        <v>#VALUE!</v>
      </c>
    </row>
    <row r="44" spans="1:21" ht="120" customHeight="1">
      <c r="T44" s="103" t="str">
        <f t="shared" ref="T44:T48" si="3">B13</f>
        <v>RctR</v>
      </c>
      <c r="U44" s="6" t="e" vm="3">
        <v>#VALUE!</v>
      </c>
    </row>
    <row r="45" spans="1:21" ht="120" customHeight="1">
      <c r="T45" s="103" t="str">
        <f t="shared" si="3"/>
        <v>RctB</v>
      </c>
      <c r="U45" s="6" t="e" vm="4">
        <v>#VALUE!</v>
      </c>
    </row>
    <row r="46" spans="1:21" ht="120" customHeight="1">
      <c r="T46" s="103" t="str">
        <f t="shared" si="3"/>
        <v>RctRR</v>
      </c>
      <c r="U46" s="6" t="e" vm="5">
        <v>#VALUE!</v>
      </c>
    </row>
    <row r="47" spans="1:21" ht="120" customHeight="1">
      <c r="T47" s="103" t="str">
        <f t="shared" si="3"/>
        <v>RctT</v>
      </c>
      <c r="U47" s="6" t="e" vm="6">
        <v>#VALUE!</v>
      </c>
    </row>
    <row r="48" spans="1:21" ht="120" customHeight="1">
      <c r="T48" s="103" t="str">
        <f t="shared" si="3"/>
        <v>RctE</v>
      </c>
      <c r="U48" s="6" t="e" vm="7">
        <v>#VALUE!</v>
      </c>
    </row>
    <row r="49" spans="20:21" ht="120" customHeight="1">
      <c r="T49" s="103" t="str">
        <f>B18</f>
        <v>RctG</v>
      </c>
      <c r="U49" s="6" t="e" vm="8">
        <v>#VALUE!</v>
      </c>
    </row>
    <row r="50" spans="20:21" ht="120" customHeight="1">
      <c r="T50" s="103" t="str">
        <f>B19</f>
        <v>RctS</v>
      </c>
      <c r="U50" s="6" t="e" vm="9">
        <v>#VALUE!</v>
      </c>
    </row>
    <row r="51" spans="20:21" ht="120" customHeight="1">
      <c r="T51" s="103" t="str">
        <f>B20</f>
        <v>RctJ</v>
      </c>
      <c r="U51" s="6" t="e" vm="10">
        <v>#VALUE!</v>
      </c>
    </row>
    <row r="52" spans="20:21" ht="15" thickBot="1">
      <c r="T52" s="331">
        <v>0</v>
      </c>
      <c r="U52" s="332" t="s">
        <v>20</v>
      </c>
    </row>
  </sheetData>
  <sheetProtection algorithmName="SHA-512" hashValue="YaXvAdEmbjP54oUMLFhBNm1NuCvQgJJKPzRM8LFn25lV+FZg+kPoUQj6v3bS46IytFkrDL5FsKTUTU/TY6Qi5A==" saltValue="N7XP1G1eqTUXwveRms0Daw==" spinCount="100000" sheet="1" objects="1" scenarios="1"/>
  <phoneticPr fontId="3" type="noConversion"/>
  <dataValidations disablePrompts="1" count="1">
    <dataValidation type="list" allowBlank="1" showInputMessage="1" showErrorMessage="1" sqref="F7:H7" xr:uid="{3CDBA13E-6AFF-44BF-850C-1A5164B55356}">
      <formula1>$A$2:$A$8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Janssen</dc:creator>
  <cp:keywords/>
  <dc:description/>
  <cp:lastModifiedBy/>
  <cp:revision/>
  <dcterms:created xsi:type="dcterms:W3CDTF">2024-10-11T11:28:33Z</dcterms:created>
  <dcterms:modified xsi:type="dcterms:W3CDTF">2026-06-01T14:20:05Z</dcterms:modified>
  <cp:category/>
  <cp:contentStatus/>
</cp:coreProperties>
</file>